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ша\Downloads\"/>
    </mc:Choice>
  </mc:AlternateContent>
  <xr:revisionPtr revIDLastSave="0" documentId="13_ncr:1_{0FFBD1BC-3F1B-488C-8590-42EB1B4344C5}" xr6:coauthVersionLast="47" xr6:coauthVersionMax="47" xr10:uidLastSave="{00000000-0000-0000-0000-000000000000}"/>
  <bookViews>
    <workbookView xWindow="-120" yWindow="-120" windowWidth="29040" windowHeight="1572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Формування'!$A$1:$H$116</definedName>
    <definedName name="_xlnm.Print_Area" localSheetId="2">'Розшифровка 2 до формування'!$A$1:$H$211</definedName>
    <definedName name="_xlnm.Print_Area" localSheetId="4">'Розшифровка за джерелами '!$A$1:$AB$20</definedName>
    <definedName name="_xlnm.Print_Area" localSheetId="3">'Розшифровка кап'!$A$1:$G$14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7" i="26" l="1"/>
  <c r="G207" i="26"/>
  <c r="H202" i="26"/>
  <c r="G202" i="26"/>
  <c r="H201" i="26"/>
  <c r="G201" i="26"/>
  <c r="H200" i="26"/>
  <c r="G200" i="26"/>
  <c r="H199" i="26"/>
  <c r="G199" i="26"/>
  <c r="H198" i="26"/>
  <c r="G198" i="26"/>
  <c r="H197" i="26"/>
  <c r="G197" i="26"/>
  <c r="H196" i="26"/>
  <c r="G196" i="26"/>
  <c r="H191" i="26"/>
  <c r="G191" i="26"/>
  <c r="H188" i="26"/>
  <c r="G188" i="26"/>
  <c r="H184" i="26"/>
  <c r="G184" i="26"/>
  <c r="H180" i="26"/>
  <c r="G180" i="26"/>
  <c r="H179" i="26"/>
  <c r="G179" i="26"/>
  <c r="H178" i="26"/>
  <c r="G178" i="26"/>
  <c r="H177" i="26"/>
  <c r="G177" i="26"/>
  <c r="H174" i="26"/>
  <c r="G174" i="26"/>
  <c r="H173" i="26"/>
  <c r="G173" i="26"/>
  <c r="H171" i="26"/>
  <c r="G171" i="26"/>
  <c r="H170" i="26"/>
  <c r="G170" i="26"/>
  <c r="H165" i="26"/>
  <c r="G165" i="26"/>
  <c r="H164" i="26"/>
  <c r="G164" i="26"/>
  <c r="H162" i="26"/>
  <c r="G162" i="26"/>
  <c r="H161" i="26"/>
  <c r="G161" i="26"/>
  <c r="H159" i="26"/>
  <c r="G159" i="26"/>
  <c r="H157" i="26"/>
  <c r="G157" i="26"/>
  <c r="H156" i="26"/>
  <c r="G156" i="26"/>
  <c r="H153" i="26"/>
  <c r="G153" i="26"/>
  <c r="H152" i="26"/>
  <c r="G152" i="26"/>
  <c r="H151" i="26"/>
  <c r="G151" i="26"/>
  <c r="H150" i="26"/>
  <c r="G150" i="26"/>
  <c r="H149" i="26"/>
  <c r="G149" i="26"/>
  <c r="H144" i="26"/>
  <c r="G144" i="26"/>
  <c r="H143" i="26"/>
  <c r="G143" i="26"/>
  <c r="H140" i="26"/>
  <c r="G140" i="26"/>
  <c r="H139" i="26"/>
  <c r="G139" i="26"/>
  <c r="H138" i="26"/>
  <c r="G138" i="26"/>
  <c r="H137" i="26"/>
  <c r="G137" i="26"/>
  <c r="H132" i="26"/>
  <c r="G132" i="26"/>
  <c r="H131" i="26"/>
  <c r="G131" i="26"/>
  <c r="H130" i="26"/>
  <c r="G130" i="26"/>
  <c r="H129" i="26"/>
  <c r="G129" i="26"/>
  <c r="H128" i="26"/>
  <c r="G128" i="26"/>
  <c r="H125" i="26"/>
  <c r="G125" i="26"/>
  <c r="H124" i="26"/>
  <c r="G124" i="26"/>
  <c r="H123" i="26"/>
  <c r="G123" i="26"/>
  <c r="H122" i="26"/>
  <c r="G122" i="26"/>
  <c r="H121" i="26"/>
  <c r="G121" i="26"/>
  <c r="H116" i="26"/>
  <c r="G116" i="26"/>
  <c r="H115" i="26"/>
  <c r="G115" i="26"/>
  <c r="H114" i="26"/>
  <c r="G114" i="26"/>
  <c r="H113" i="26"/>
  <c r="G113" i="26"/>
  <c r="H110" i="26"/>
  <c r="G110" i="26"/>
  <c r="H105" i="26"/>
  <c r="G105" i="26"/>
  <c r="H102" i="26"/>
  <c r="G102" i="26"/>
  <c r="H100" i="26"/>
  <c r="G100" i="26"/>
  <c r="H99" i="26"/>
  <c r="G99" i="26"/>
  <c r="H98" i="26"/>
  <c r="G98" i="26"/>
  <c r="H97" i="26"/>
  <c r="G97" i="26"/>
  <c r="H96" i="26"/>
  <c r="G96" i="26"/>
  <c r="H91" i="26"/>
  <c r="G91" i="26"/>
  <c r="H90" i="26"/>
  <c r="G90" i="26"/>
  <c r="H88" i="26"/>
  <c r="G88" i="26"/>
  <c r="H85" i="26"/>
  <c r="G85" i="26"/>
  <c r="H83" i="26"/>
  <c r="G83" i="26"/>
  <c r="H82" i="26"/>
  <c r="G82" i="26"/>
  <c r="H81" i="26"/>
  <c r="G81" i="26"/>
  <c r="H80" i="26"/>
  <c r="G80" i="26"/>
  <c r="H79" i="26"/>
  <c r="G79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4" i="26"/>
  <c r="G64" i="26"/>
  <c r="H63" i="26"/>
  <c r="G63" i="26"/>
  <c r="H62" i="26"/>
  <c r="G62" i="26"/>
  <c r="H61" i="26"/>
  <c r="G61" i="26"/>
  <c r="H60" i="26"/>
  <c r="G60" i="26"/>
  <c r="H57" i="26"/>
  <c r="G57" i="26"/>
  <c r="H56" i="26"/>
  <c r="G56" i="26"/>
  <c r="H55" i="26"/>
  <c r="G55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F103" i="14"/>
  <c r="E103" i="14"/>
  <c r="D103" i="14"/>
  <c r="F102" i="14"/>
  <c r="E102" i="14"/>
  <c r="D102" i="14"/>
  <c r="F101" i="14"/>
  <c r="E101" i="14"/>
  <c r="D101" i="14"/>
  <c r="F96" i="14"/>
  <c r="E96" i="14"/>
  <c r="D96" i="14"/>
  <c r="D73" i="14"/>
  <c r="F28" i="14" l="1"/>
  <c r="D28" i="14" s="1"/>
  <c r="F27" i="14"/>
  <c r="D27" i="14" s="1"/>
  <c r="E28" i="14"/>
  <c r="E27" i="14"/>
  <c r="C28" i="14"/>
  <c r="C27" i="14"/>
  <c r="D20" i="14"/>
  <c r="F19" i="14"/>
  <c r="D19" i="14" s="1"/>
  <c r="F18" i="14"/>
  <c r="D18" i="14" s="1"/>
  <c r="E19" i="14"/>
  <c r="E18" i="14"/>
  <c r="C19" i="14"/>
  <c r="C47" i="14" s="1"/>
  <c r="C66" i="14" s="1"/>
  <c r="C18" i="14"/>
  <c r="D11" i="14"/>
  <c r="F13" i="14"/>
  <c r="D13" i="14" s="1"/>
  <c r="F12" i="14"/>
  <c r="F47" i="14" s="1"/>
  <c r="F66" i="14" s="1"/>
  <c r="F11" i="14"/>
  <c r="E13" i="14"/>
  <c r="E12" i="14"/>
  <c r="E47" i="14" s="1"/>
  <c r="E66" i="14" s="1"/>
  <c r="E11" i="14"/>
  <c r="E46" i="14" s="1"/>
  <c r="C13" i="14"/>
  <c r="C12" i="14"/>
  <c r="C11" i="14"/>
  <c r="C46" i="14" s="1"/>
  <c r="D23" i="22"/>
  <c r="C34" i="14" s="1"/>
  <c r="D46" i="14" l="1"/>
  <c r="F46" i="14"/>
  <c r="D12" i="14"/>
  <c r="D47" i="14"/>
  <c r="D66" i="14" s="1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100" i="22"/>
  <c r="G100" i="22"/>
  <c r="H99" i="22"/>
  <c r="G99" i="22"/>
  <c r="H97" i="22"/>
  <c r="G97" i="22"/>
  <c r="H96" i="22"/>
  <c r="G96" i="22"/>
  <c r="H94" i="22"/>
  <c r="G94" i="22"/>
  <c r="H93" i="22"/>
  <c r="G93" i="22"/>
  <c r="H92" i="22"/>
  <c r="G92" i="22"/>
  <c r="H91" i="22"/>
  <c r="G91" i="22"/>
  <c r="H90" i="22"/>
  <c r="G90" i="22"/>
  <c r="G89" i="22"/>
  <c r="H86" i="22"/>
  <c r="G86" i="22"/>
  <c r="H85" i="22"/>
  <c r="G85" i="22"/>
  <c r="H84" i="22"/>
  <c r="G84" i="22"/>
  <c r="H82" i="22"/>
  <c r="H80" i="22"/>
  <c r="G80" i="22"/>
  <c r="H79" i="22"/>
  <c r="G79" i="22"/>
  <c r="H78" i="22"/>
  <c r="G78" i="22"/>
  <c r="H77" i="22"/>
  <c r="G77" i="22"/>
  <c r="H75" i="22"/>
  <c r="G75" i="22"/>
  <c r="H74" i="22"/>
  <c r="G74" i="22"/>
  <c r="H73" i="22"/>
  <c r="G73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2" i="22"/>
  <c r="G52" i="22"/>
  <c r="H50" i="22"/>
  <c r="G50" i="22"/>
  <c r="G38" i="22"/>
  <c r="E95" i="22"/>
  <c r="H95" i="22" s="1"/>
  <c r="E89" i="22"/>
  <c r="H89" i="22" s="1"/>
  <c r="E88" i="22"/>
  <c r="G88" i="22" s="1"/>
  <c r="E87" i="22"/>
  <c r="H87" i="22" s="1"/>
  <c r="E83" i="22"/>
  <c r="H83" i="22" s="1"/>
  <c r="E82" i="22"/>
  <c r="G82" i="22" s="1"/>
  <c r="E51" i="22"/>
  <c r="E49" i="22"/>
  <c r="G49" i="22" s="1"/>
  <c r="E48" i="22"/>
  <c r="E47" i="22"/>
  <c r="E46" i="22"/>
  <c r="E45" i="22"/>
  <c r="H45" i="22" s="1"/>
  <c r="E44" i="22"/>
  <c r="H44" i="22" s="1"/>
  <c r="E43" i="22"/>
  <c r="E42" i="22"/>
  <c r="H42" i="22" s="1"/>
  <c r="E41" i="22"/>
  <c r="G41" i="22" s="1"/>
  <c r="E40" i="22"/>
  <c r="G40" i="22" s="1"/>
  <c r="E39" i="22"/>
  <c r="H39" i="22" s="1"/>
  <c r="E38" i="22"/>
  <c r="H38" i="22" s="1"/>
  <c r="E37" i="22"/>
  <c r="G37" i="22" s="1"/>
  <c r="G44" i="22" l="1"/>
  <c r="H37" i="22"/>
  <c r="H49" i="22"/>
  <c r="H88" i="22"/>
  <c r="G95" i="22"/>
  <c r="G83" i="22"/>
  <c r="H41" i="22"/>
  <c r="G39" i="22"/>
  <c r="G42" i="22"/>
  <c r="G45" i="22"/>
  <c r="G87" i="22"/>
  <c r="H40" i="22"/>
  <c r="E30" i="22"/>
  <c r="E35" i="22"/>
  <c r="E34" i="22"/>
  <c r="E33" i="22"/>
  <c r="E32" i="22"/>
  <c r="E31" i="22"/>
  <c r="F81" i="22"/>
  <c r="G32" i="22" l="1"/>
  <c r="H32" i="22"/>
  <c r="G34" i="22"/>
  <c r="H34" i="22"/>
  <c r="G31" i="22"/>
  <c r="H31" i="22"/>
  <c r="H33" i="22"/>
  <c r="G33" i="22"/>
  <c r="E59" i="26"/>
  <c r="N25" i="26" l="1"/>
  <c r="M25" i="26"/>
  <c r="N24" i="26"/>
  <c r="M24" i="26"/>
  <c r="L25" i="26"/>
  <c r="L24" i="26"/>
  <c r="N18" i="26"/>
  <c r="M18" i="26"/>
  <c r="N17" i="26"/>
  <c r="M17" i="26"/>
  <c r="L18" i="26"/>
  <c r="L17" i="26"/>
  <c r="N12" i="26"/>
  <c r="M12" i="26"/>
  <c r="N11" i="26"/>
  <c r="M11" i="26"/>
  <c r="M31" i="26" s="1"/>
  <c r="N10" i="26"/>
  <c r="M10" i="26"/>
  <c r="L12" i="26"/>
  <c r="L11" i="26"/>
  <c r="L31" i="26" s="1"/>
  <c r="L10" i="26"/>
  <c r="N31" i="26" l="1"/>
  <c r="N30" i="26"/>
  <c r="L30" i="26"/>
  <c r="M30" i="26"/>
  <c r="F169" i="26" l="1"/>
  <c r="H169" i="26" l="1"/>
  <c r="G169" i="26"/>
  <c r="F70" i="14"/>
  <c r="F57" i="14"/>
  <c r="F52" i="14"/>
  <c r="E81" i="22" l="1"/>
  <c r="F72" i="22"/>
  <c r="F51" i="22"/>
  <c r="F46" i="22"/>
  <c r="F47" i="22"/>
  <c r="F48" i="22"/>
  <c r="F43" i="22"/>
  <c r="F35" i="22"/>
  <c r="F30" i="22"/>
  <c r="H30" i="22" s="1"/>
  <c r="F36" i="22"/>
  <c r="F195" i="26"/>
  <c r="F194" i="26" s="1"/>
  <c r="E195" i="26"/>
  <c r="E194" i="26" s="1"/>
  <c r="D195" i="26"/>
  <c r="G7" i="24"/>
  <c r="G8" i="24"/>
  <c r="G9" i="24"/>
  <c r="F8" i="24"/>
  <c r="Z10" i="27"/>
  <c r="Z11" i="27"/>
  <c r="F59" i="26"/>
  <c r="F176" i="26"/>
  <c r="E127" i="26"/>
  <c r="F127" i="26"/>
  <c r="H36" i="22" l="1"/>
  <c r="G36" i="22"/>
  <c r="H48" i="22"/>
  <c r="G48" i="22"/>
  <c r="G35" i="22"/>
  <c r="H35" i="22"/>
  <c r="G46" i="22"/>
  <c r="H46" i="22"/>
  <c r="AB11" i="27"/>
  <c r="AA11" i="27"/>
  <c r="H43" i="22"/>
  <c r="G43" i="22"/>
  <c r="G51" i="22"/>
  <c r="H51" i="22"/>
  <c r="AB10" i="27"/>
  <c r="AA10" i="27"/>
  <c r="G47" i="22"/>
  <c r="H47" i="22"/>
  <c r="H127" i="26"/>
  <c r="G127" i="26"/>
  <c r="H195" i="26"/>
  <c r="G195" i="26"/>
  <c r="H59" i="26"/>
  <c r="G59" i="26"/>
  <c r="H81" i="22"/>
  <c r="G81" i="22"/>
  <c r="F29" i="22"/>
  <c r="F65" i="26"/>
  <c r="F47" i="26" l="1"/>
  <c r="F112" i="26"/>
  <c r="N16" i="26" l="1"/>
  <c r="F17" i="14"/>
  <c r="D17" i="14" s="1"/>
  <c r="E190" i="26"/>
  <c r="E183" i="26"/>
  <c r="E172" i="26"/>
  <c r="E168" i="26" s="1"/>
  <c r="D172" i="26"/>
  <c r="E176" i="26"/>
  <c r="E78" i="26"/>
  <c r="E47" i="26"/>
  <c r="E9" i="26"/>
  <c r="M26" i="26" l="1"/>
  <c r="M32" i="26" s="1"/>
  <c r="E29" i="14"/>
  <c r="E48" i="14" s="1"/>
  <c r="M16" i="26"/>
  <c r="E17" i="14"/>
  <c r="G176" i="26"/>
  <c r="H176" i="26"/>
  <c r="G47" i="26"/>
  <c r="H47" i="26"/>
  <c r="O8" i="27"/>
  <c r="O14" i="27" s="1"/>
  <c r="C6" i="24"/>
  <c r="C72" i="14" s="1"/>
  <c r="C103" i="14"/>
  <c r="C102" i="14"/>
  <c r="C101" i="14"/>
  <c r="C96" i="14"/>
  <c r="C100" i="14" s="1"/>
  <c r="C88" i="14"/>
  <c r="C52" i="14"/>
  <c r="C57" i="14"/>
  <c r="D176" i="26"/>
  <c r="D168" i="26"/>
  <c r="D148" i="26"/>
  <c r="D147" i="26" s="1"/>
  <c r="D155" i="26"/>
  <c r="D154" i="26" s="1"/>
  <c r="D142" i="26"/>
  <c r="D127" i="26"/>
  <c r="D126" i="26" s="1"/>
  <c r="D112" i="26"/>
  <c r="D95" i="26"/>
  <c r="F95" i="26"/>
  <c r="D59" i="26"/>
  <c r="D61" i="22"/>
  <c r="D51" i="22"/>
  <c r="D48" i="22"/>
  <c r="D47" i="22"/>
  <c r="D46" i="22"/>
  <c r="D43" i="22"/>
  <c r="D36" i="22"/>
  <c r="D35" i="22"/>
  <c r="D32" i="22"/>
  <c r="D31" i="22"/>
  <c r="D30" i="22"/>
  <c r="H95" i="26" l="1"/>
  <c r="G95" i="26"/>
  <c r="D145" i="26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26" i="22"/>
  <c r="G26" i="22"/>
  <c r="E23" i="22"/>
  <c r="E34" i="14" s="1"/>
  <c r="D9" i="26" l="1"/>
  <c r="D27" i="26"/>
  <c r="E92" i="14" l="1"/>
  <c r="C92" i="14"/>
  <c r="D8" i="26"/>
  <c r="E136" i="26"/>
  <c r="E27" i="26"/>
  <c r="E8" i="26" l="1"/>
  <c r="D92" i="14" l="1"/>
  <c r="D57" i="14"/>
  <c r="D52" i="14"/>
  <c r="F92" i="14" l="1"/>
  <c r="F98" i="22"/>
  <c r="F148" i="26"/>
  <c r="F147" i="26" l="1"/>
  <c r="G10" i="24"/>
  <c r="X12" i="27"/>
  <c r="Y12" i="27"/>
  <c r="Z12" i="27"/>
  <c r="T8" i="27"/>
  <c r="E6" i="24"/>
  <c r="D72" i="14" s="1"/>
  <c r="AB12" i="27" l="1"/>
  <c r="AA12" i="27"/>
  <c r="F126" i="26"/>
  <c r="F172" i="26"/>
  <c r="H172" i="26" l="1"/>
  <c r="G172" i="26"/>
  <c r="F168" i="26"/>
  <c r="F11" i="22"/>
  <c r="F24" i="14" s="1"/>
  <c r="D24" i="14" s="1"/>
  <c r="F23" i="22"/>
  <c r="F34" i="14" s="1"/>
  <c r="D34" i="14" s="1"/>
  <c r="F155" i="26"/>
  <c r="F206" i="26"/>
  <c r="D206" i="26"/>
  <c r="D205" i="26" s="1"/>
  <c r="D203" i="26" s="1"/>
  <c r="H168" i="26" l="1"/>
  <c r="G168" i="26"/>
  <c r="H206" i="26"/>
  <c r="G206" i="26"/>
  <c r="H155" i="26"/>
  <c r="G155" i="26"/>
  <c r="D22" i="14"/>
  <c r="F22" i="14"/>
  <c r="F205" i="26"/>
  <c r="F154" i="26"/>
  <c r="H154" i="26" l="1"/>
  <c r="G154" i="26"/>
  <c r="H205" i="26"/>
  <c r="G205" i="26"/>
  <c r="F145" i="26"/>
  <c r="F203" i="26"/>
  <c r="F142" i="26"/>
  <c r="H203" i="26" l="1"/>
  <c r="G203" i="26"/>
  <c r="E112" i="26"/>
  <c r="G112" i="26" l="1"/>
  <c r="H112" i="26"/>
  <c r="E76" i="22"/>
  <c r="E192" i="26" l="1"/>
  <c r="H194" i="26"/>
  <c r="G194" i="26"/>
  <c r="D190" i="26"/>
  <c r="D187" i="26"/>
  <c r="D183" i="26"/>
  <c r="D181" i="26" s="1"/>
  <c r="D175" i="26"/>
  <c r="D141" i="26"/>
  <c r="D136" i="26"/>
  <c r="D135" i="26" s="1"/>
  <c r="D120" i="26"/>
  <c r="D119" i="26" s="1"/>
  <c r="D117" i="26" s="1"/>
  <c r="D111" i="26"/>
  <c r="D109" i="26"/>
  <c r="D108" i="26" s="1"/>
  <c r="D104" i="26"/>
  <c r="D103" i="26" s="1"/>
  <c r="D101" i="26"/>
  <c r="D94" i="26" s="1"/>
  <c r="D89" i="26"/>
  <c r="D87" i="26"/>
  <c r="C26" i="14" s="1"/>
  <c r="D84" i="26"/>
  <c r="D78" i="26"/>
  <c r="C10" i="14" s="1"/>
  <c r="D65" i="26"/>
  <c r="D54" i="26"/>
  <c r="C21" i="14" s="1"/>
  <c r="D47" i="26"/>
  <c r="C17" i="14" s="1"/>
  <c r="D98" i="22"/>
  <c r="D81" i="22"/>
  <c r="D76" i="22"/>
  <c r="D72" i="22"/>
  <c r="D53" i="22"/>
  <c r="D21" i="22"/>
  <c r="C32" i="14" s="1"/>
  <c r="D11" i="22"/>
  <c r="D7" i="22"/>
  <c r="C70" i="14"/>
  <c r="C45" i="14" l="1"/>
  <c r="C24" i="14"/>
  <c r="C22" i="14" s="1"/>
  <c r="C8" i="14"/>
  <c r="C42" i="14" s="1"/>
  <c r="D6" i="22"/>
  <c r="L26" i="26"/>
  <c r="C29" i="14"/>
  <c r="C48" i="14" s="1"/>
  <c r="L13" i="26"/>
  <c r="C14" i="14"/>
  <c r="C30" i="14"/>
  <c r="L23" i="26"/>
  <c r="L20" i="26"/>
  <c r="L32" i="26"/>
  <c r="L9" i="26"/>
  <c r="L16" i="26"/>
  <c r="D58" i="26"/>
  <c r="L27" i="26"/>
  <c r="D194" i="26"/>
  <c r="D192" i="26" s="1"/>
  <c r="D189" i="26"/>
  <c r="D185" i="26" s="1"/>
  <c r="D77" i="26"/>
  <c r="D92" i="26"/>
  <c r="D158" i="26"/>
  <c r="D86" i="26"/>
  <c r="D166" i="26"/>
  <c r="D46" i="26"/>
  <c r="L15" i="26" s="1"/>
  <c r="D106" i="26"/>
  <c r="D133" i="26"/>
  <c r="D29" i="22"/>
  <c r="E70" i="14"/>
  <c r="E64" i="14"/>
  <c r="E57" i="14"/>
  <c r="E52" i="14"/>
  <c r="C49" i="14" l="1"/>
  <c r="L33" i="26"/>
  <c r="L29" i="26"/>
  <c r="L34" i="26" s="1"/>
  <c r="L8" i="26"/>
  <c r="C16" i="14"/>
  <c r="L22" i="26"/>
  <c r="C25" i="14"/>
  <c r="C64" i="14"/>
  <c r="C68" i="14" s="1"/>
  <c r="D6" i="26"/>
  <c r="D75" i="26"/>
  <c r="E68" i="14"/>
  <c r="H10" i="26"/>
  <c r="G10" i="26"/>
  <c r="W8" i="27"/>
  <c r="V8" i="27"/>
  <c r="U8" i="27"/>
  <c r="U14" i="27" s="1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F9" i="24"/>
  <c r="F7" i="24"/>
  <c r="L6" i="26" l="1"/>
  <c r="D5" i="26"/>
  <c r="C9" i="14"/>
  <c r="C50" i="14"/>
  <c r="C15" i="14" l="1"/>
  <c r="C31" i="14" s="1"/>
  <c r="C36" i="14" s="1"/>
  <c r="C39" i="14" s="1"/>
  <c r="C40" i="14" s="1"/>
  <c r="C43" i="14"/>
  <c r="D70" i="14"/>
  <c r="F136" i="26" l="1"/>
  <c r="E84" i="26"/>
  <c r="E14" i="14" s="1"/>
  <c r="F84" i="26"/>
  <c r="H84" i="26" l="1"/>
  <c r="G84" i="26"/>
  <c r="H136" i="26"/>
  <c r="G136" i="26"/>
  <c r="M13" i="26"/>
  <c r="F53" i="22"/>
  <c r="E108" i="26"/>
  <c r="E135" i="26" l="1"/>
  <c r="E126" i="26" l="1"/>
  <c r="G126" i="26" l="1"/>
  <c r="H126" i="26"/>
  <c r="E117" i="26"/>
  <c r="F109" i="26"/>
  <c r="H109" i="26" l="1"/>
  <c r="G109" i="26"/>
  <c r="F108" i="26"/>
  <c r="F120" i="26"/>
  <c r="H108" i="26" l="1"/>
  <c r="G108" i="26"/>
  <c r="F119" i="26"/>
  <c r="F163" i="26"/>
  <c r="H163" i="26" l="1"/>
  <c r="G163" i="26"/>
  <c r="F192" i="26"/>
  <c r="F117" i="26"/>
  <c r="C5" i="24"/>
  <c r="H117" i="26" l="1"/>
  <c r="G117" i="26"/>
  <c r="H192" i="26"/>
  <c r="G192" i="26"/>
  <c r="F88" i="14"/>
  <c r="F100" i="14" s="1"/>
  <c r="H100" i="14" l="1"/>
  <c r="D6" i="24"/>
  <c r="D5" i="24" s="1"/>
  <c r="E181" i="26" l="1"/>
  <c r="E11" i="22" l="1"/>
  <c r="E24" i="14" l="1"/>
  <c r="E22" i="14" s="1"/>
  <c r="H25" i="22"/>
  <c r="G25" i="22"/>
  <c r="H24" i="22"/>
  <c r="G24" i="22"/>
  <c r="H22" i="22"/>
  <c r="G22" i="22"/>
  <c r="H20" i="22"/>
  <c r="G20" i="22"/>
  <c r="H10" i="22"/>
  <c r="G10" i="22"/>
  <c r="H9" i="22"/>
  <c r="G9" i="22"/>
  <c r="G23" i="22" l="1"/>
  <c r="F87" i="26"/>
  <c r="E87" i="26"/>
  <c r="H87" i="26" l="1"/>
  <c r="G87" i="26"/>
  <c r="D88" i="14"/>
  <c r="D100" i="14" s="1"/>
  <c r="G30" i="22" l="1"/>
  <c r="E5" i="24" l="1"/>
  <c r="X9" i="27"/>
  <c r="Y9" i="27"/>
  <c r="Z9" i="27"/>
  <c r="AA9" i="27" l="1"/>
  <c r="AB9" i="27"/>
  <c r="F78" i="26" l="1"/>
  <c r="H78" i="26" l="1"/>
  <c r="G78" i="26"/>
  <c r="E77" i="26"/>
  <c r="E53" i="22"/>
  <c r="E29" i="22"/>
  <c r="G53" i="22" l="1"/>
  <c r="H53" i="22"/>
  <c r="E89" i="26"/>
  <c r="F89" i="26"/>
  <c r="I89" i="26"/>
  <c r="F9" i="26"/>
  <c r="F27" i="26"/>
  <c r="E54" i="26"/>
  <c r="F54" i="26"/>
  <c r="E65" i="26"/>
  <c r="F101" i="26"/>
  <c r="F104" i="26"/>
  <c r="F111" i="26"/>
  <c r="E120" i="26"/>
  <c r="F135" i="26"/>
  <c r="E142" i="26"/>
  <c r="E148" i="26"/>
  <c r="E160" i="26"/>
  <c r="E158" i="26" s="1"/>
  <c r="F160" i="26"/>
  <c r="F183" i="26"/>
  <c r="E187" i="26"/>
  <c r="F187" i="26"/>
  <c r="E189" i="26"/>
  <c r="F190" i="26"/>
  <c r="H183" i="26" l="1"/>
  <c r="G183" i="26"/>
  <c r="N23" i="26"/>
  <c r="H104" i="26"/>
  <c r="G104" i="26"/>
  <c r="F26" i="14"/>
  <c r="D26" i="14" s="1"/>
  <c r="N13" i="26"/>
  <c r="H27" i="26"/>
  <c r="G27" i="26"/>
  <c r="F14" i="14"/>
  <c r="N26" i="26"/>
  <c r="H190" i="26"/>
  <c r="G190" i="26"/>
  <c r="F29" i="14"/>
  <c r="H120" i="26"/>
  <c r="G120" i="26"/>
  <c r="M20" i="26"/>
  <c r="E21" i="14"/>
  <c r="H160" i="26"/>
  <c r="G160" i="26"/>
  <c r="N9" i="26"/>
  <c r="F10" i="14"/>
  <c r="M9" i="26"/>
  <c r="E10" i="14"/>
  <c r="E9" i="14" s="1"/>
  <c r="H148" i="26"/>
  <c r="G148" i="26"/>
  <c r="H101" i="26"/>
  <c r="G101" i="26"/>
  <c r="H187" i="26"/>
  <c r="G187" i="26"/>
  <c r="M23" i="26"/>
  <c r="M29" i="26" s="1"/>
  <c r="H142" i="26"/>
  <c r="G142" i="26"/>
  <c r="E26" i="14"/>
  <c r="E30" i="14"/>
  <c r="E58" i="26"/>
  <c r="H65" i="26"/>
  <c r="G65" i="26"/>
  <c r="N27" i="26"/>
  <c r="H89" i="26"/>
  <c r="G89" i="26"/>
  <c r="F30" i="14"/>
  <c r="D30" i="14" s="1"/>
  <c r="H135" i="26"/>
  <c r="G135" i="26"/>
  <c r="N20" i="26"/>
  <c r="H54" i="26"/>
  <c r="G54" i="26"/>
  <c r="F21" i="14"/>
  <c r="D21" i="14" s="1"/>
  <c r="M27" i="26"/>
  <c r="N32" i="26"/>
  <c r="M33" i="26"/>
  <c r="E46" i="26"/>
  <c r="M15" i="26" s="1"/>
  <c r="F58" i="26"/>
  <c r="E119" i="26"/>
  <c r="F106" i="26"/>
  <c r="E141" i="26"/>
  <c r="E133" i="26" s="1"/>
  <c r="F158" i="26"/>
  <c r="E185" i="26"/>
  <c r="F103" i="26"/>
  <c r="F141" i="26"/>
  <c r="F181" i="26"/>
  <c r="F175" i="26"/>
  <c r="F94" i="26"/>
  <c r="E86" i="26"/>
  <c r="F189" i="26"/>
  <c r="E147" i="26"/>
  <c r="F86" i="26"/>
  <c r="F46" i="26"/>
  <c r="E175" i="26"/>
  <c r="E166" i="26" s="1"/>
  <c r="E111" i="26"/>
  <c r="H111" i="26" s="1"/>
  <c r="F77" i="26"/>
  <c r="M34" i="26" l="1"/>
  <c r="E49" i="14"/>
  <c r="N33" i="26"/>
  <c r="N29" i="26"/>
  <c r="D10" i="14"/>
  <c r="D45" i="14" s="1"/>
  <c r="F45" i="14"/>
  <c r="H103" i="26"/>
  <c r="G103" i="26"/>
  <c r="H141" i="26"/>
  <c r="G141" i="26"/>
  <c r="H77" i="26"/>
  <c r="G77" i="26"/>
  <c r="G111" i="26"/>
  <c r="F49" i="14"/>
  <c r="D14" i="14"/>
  <c r="D49" i="14" s="1"/>
  <c r="M8" i="26"/>
  <c r="H147" i="26"/>
  <c r="G147" i="26"/>
  <c r="H119" i="26"/>
  <c r="G119" i="26"/>
  <c r="H189" i="26"/>
  <c r="G189" i="26"/>
  <c r="H58" i="26"/>
  <c r="G58" i="26"/>
  <c r="H94" i="26"/>
  <c r="G94" i="26"/>
  <c r="H158" i="26"/>
  <c r="G158" i="26"/>
  <c r="N15" i="26"/>
  <c r="H46" i="26"/>
  <c r="G46" i="26"/>
  <c r="F166" i="26"/>
  <c r="H175" i="26"/>
  <c r="G175" i="26"/>
  <c r="E45" i="14"/>
  <c r="F48" i="14"/>
  <c r="D29" i="14"/>
  <c r="D48" i="14" s="1"/>
  <c r="H86" i="26"/>
  <c r="G86" i="26"/>
  <c r="H181" i="26"/>
  <c r="G181" i="26"/>
  <c r="N34" i="26"/>
  <c r="F64" i="14"/>
  <c r="F68" i="14" s="1"/>
  <c r="D64" i="14"/>
  <c r="D68" i="14" s="1"/>
  <c r="N22" i="26"/>
  <c r="M22" i="26"/>
  <c r="F9" i="14"/>
  <c r="E16" i="14"/>
  <c r="E25" i="14"/>
  <c r="F133" i="26"/>
  <c r="E6" i="26"/>
  <c r="E145" i="26"/>
  <c r="F185" i="26"/>
  <c r="E106" i="26"/>
  <c r="H106" i="26" s="1"/>
  <c r="F75" i="26"/>
  <c r="F92" i="26"/>
  <c r="E75" i="26"/>
  <c r="G52" i="14"/>
  <c r="G53" i="14"/>
  <c r="H53" i="14"/>
  <c r="G54" i="14"/>
  <c r="H54" i="14"/>
  <c r="G55" i="14"/>
  <c r="H55" i="14"/>
  <c r="G57" i="14"/>
  <c r="G59" i="14"/>
  <c r="H59" i="14"/>
  <c r="G67" i="14"/>
  <c r="H67" i="14"/>
  <c r="H133" i="26" l="1"/>
  <c r="G133" i="26"/>
  <c r="H75" i="26"/>
  <c r="G75" i="26"/>
  <c r="H166" i="26"/>
  <c r="G166" i="26"/>
  <c r="H185" i="26"/>
  <c r="G185" i="26"/>
  <c r="G106" i="26"/>
  <c r="H92" i="26"/>
  <c r="G92" i="26"/>
  <c r="H145" i="26"/>
  <c r="G145" i="26"/>
  <c r="M6" i="26"/>
  <c r="G64" i="14"/>
  <c r="H66" i="14"/>
  <c r="G66" i="14"/>
  <c r="E5" i="26"/>
  <c r="D16" i="14"/>
  <c r="F25" i="14"/>
  <c r="D25" i="14"/>
  <c r="D9" i="14"/>
  <c r="F16" i="14"/>
  <c r="E50" i="14"/>
  <c r="J75" i="26"/>
  <c r="E43" i="14"/>
  <c r="H64" i="14"/>
  <c r="H57" i="14"/>
  <c r="H52" i="14"/>
  <c r="G68" i="14"/>
  <c r="F50" i="14" l="1"/>
  <c r="F43" i="14"/>
  <c r="D50" i="14"/>
  <c r="D43" i="14"/>
  <c r="H68" i="14"/>
  <c r="E21" i="22" l="1"/>
  <c r="E32" i="14" s="1"/>
  <c r="E7" i="22"/>
  <c r="E8" i="14" s="1"/>
  <c r="E42" i="14" l="1"/>
  <c r="E15" i="14"/>
  <c r="E31" i="14" s="1"/>
  <c r="E36" i="14" s="1"/>
  <c r="E39" i="14" s="1"/>
  <c r="E40" i="14" s="1"/>
  <c r="F76" i="22"/>
  <c r="H76" i="22" l="1"/>
  <c r="G76" i="22"/>
  <c r="Y8" i="27"/>
  <c r="X8" i="27"/>
  <c r="Z8" i="27" l="1"/>
  <c r="AB8" i="27" l="1"/>
  <c r="AA8" i="27"/>
  <c r="E98" i="22" l="1"/>
  <c r="E72" i="22"/>
  <c r="H72" i="22" l="1"/>
  <c r="G72" i="22"/>
  <c r="H98" i="22"/>
  <c r="G98" i="22"/>
  <c r="H11" i="22"/>
  <c r="G11" i="22"/>
  <c r="H23" i="22"/>
  <c r="E6" i="22"/>
  <c r="G76" i="14" l="1"/>
  <c r="F7" i="22" l="1"/>
  <c r="F8" i="14" s="1"/>
  <c r="D8" i="14" s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D15" i="14" l="1"/>
  <c r="D31" i="14" s="1"/>
  <c r="F15" i="14"/>
  <c r="F31" i="14" s="1"/>
  <c r="G96" i="14"/>
  <c r="G102" i="14"/>
  <c r="G92" i="14"/>
  <c r="H96" i="14"/>
  <c r="H92" i="14"/>
  <c r="G88" i="14"/>
  <c r="H103" i="14"/>
  <c r="H101" i="14"/>
  <c r="G100" i="14" l="1"/>
  <c r="F11" i="24" l="1"/>
  <c r="G11" i="24"/>
  <c r="Z13" i="27" l="1"/>
  <c r="Y13" i="27"/>
  <c r="X13" i="27"/>
  <c r="AA13" i="27" l="1"/>
  <c r="AB13" i="27"/>
  <c r="F8" i="26"/>
  <c r="N8" i="26" s="1"/>
  <c r="N6" i="26" s="1"/>
  <c r="G9" i="26"/>
  <c r="F6" i="26" l="1"/>
  <c r="F5" i="26" s="1"/>
  <c r="G6" i="24"/>
  <c r="H114" i="22"/>
  <c r="F21" i="22"/>
  <c r="F32" i="14" s="1"/>
  <c r="H8" i="22"/>
  <c r="G8" i="22"/>
  <c r="F6" i="22" l="1"/>
  <c r="D32" i="14"/>
  <c r="G5" i="26"/>
  <c r="H5" i="26"/>
  <c r="G21" i="22"/>
  <c r="H21" i="22"/>
  <c r="H9" i="26"/>
  <c r="H7" i="22"/>
  <c r="F6" i="24"/>
  <c r="F5" i="24" s="1"/>
  <c r="G7" i="22"/>
  <c r="D42" i="14" l="1"/>
  <c r="D36" i="14"/>
  <c r="D39" i="14" s="1"/>
  <c r="D40" i="14" s="1"/>
  <c r="F42" i="14"/>
  <c r="F36" i="14"/>
  <c r="F39" i="14" s="1"/>
  <c r="F40" i="14" s="1"/>
  <c r="G5" i="24"/>
  <c r="G8" i="26"/>
  <c r="H8" i="26"/>
  <c r="H29" i="22"/>
  <c r="G29" i="22"/>
  <c r="H6" i="22"/>
  <c r="G6" i="22"/>
  <c r="G6" i="26" l="1"/>
  <c r="H6" i="26"/>
  <c r="H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4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4" i="27"/>
  <c r="C14" i="27"/>
  <c r="Q14" i="27"/>
  <c r="L14" i="27"/>
  <c r="I14" i="27"/>
  <c r="V14" i="27"/>
  <c r="Z14" i="27"/>
  <c r="K14" i="27"/>
  <c r="D14" i="27"/>
  <c r="S14" i="27"/>
  <c r="G14" i="27"/>
  <c r="E14" i="27"/>
  <c r="X14" i="27"/>
  <c r="N14" i="27"/>
  <c r="Y14" i="27"/>
  <c r="H14" i="27"/>
  <c r="T14" i="27"/>
  <c r="R14" i="27"/>
  <c r="J14" i="27"/>
  <c r="M14" i="27"/>
  <c r="P14" i="27"/>
  <c r="F14" i="27"/>
  <c r="AB14" i="27" l="1"/>
  <c r="AA14" i="27"/>
</calcChain>
</file>

<file path=xl/sharedStrings.xml><?xml version="1.0" encoding="utf-8"?>
<sst xmlns="http://schemas.openxmlformats.org/spreadsheetml/2006/main" count="673" uniqueCount="349">
  <si>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</si>
  <si>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</si>
  <si>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</si>
  <si>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</si>
  <si>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</si>
  <si>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</si>
  <si>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</si>
  <si>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</si>
  <si>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</si>
  <si>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</si>
  <si>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</si>
  <si>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</si>
  <si>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</si>
  <si>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</si>
  <si>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</si>
  <si>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</si>
  <si>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</si>
  <si>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</si>
  <si>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</si>
  <si>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</si>
  <si>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</si>
  <si>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</si>
  <si>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</si>
  <si>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</si>
  <si>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</si>
  <si>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</si>
  <si>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</si>
  <si>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</si>
  <si>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</si>
  <si>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</si>
  <si>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</si>
  <si>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</si>
  <si>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</si>
  <si>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</si>
  <si>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</si>
  <si>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</si>
  <si>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</si>
  <si>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</si>
  <si>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</si>
  <si>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</si>
  <si>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</si>
  <si>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</si>
  <si>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</si>
  <si>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</si>
  <si>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</si>
  <si>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</si>
  <si>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</si>
  <si>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</si>
  <si>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</si>
  <si>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</si>
  <si>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</si>
  <si>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</si>
  <si>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</si>
  <si>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</si>
  <si>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</si>
  <si>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</si>
  <si>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</si>
  <si>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</si>
  <si>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</si>
  <si>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</si>
  <si>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</si>
  <si>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</si>
  <si>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</si>
  <si>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</si>
  <si>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</si>
  <si>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</si>
  <si>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</si>
  <si>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</si>
  <si>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</si>
  <si>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</si>
  <si>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</si>
  <si>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</si>
  <si>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</si>
  <si>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</si>
  <si>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</si>
  <si>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</si>
  <si>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</si>
  <si>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</si>
  <si>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</si>
  <si>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</si>
  <si>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</si>
  <si>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</si>
  <si>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</si>
  <si>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</si>
  <si>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</si>
  <si>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</si>
  <si>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</si>
  <si>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</si>
  <si>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</si>
  <si>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</si>
  <si>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</si>
  <si>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</si>
  <si>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</si>
  <si>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</si>
  <si>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</si>
  <si>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</si>
  <si>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</si>
  <si>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</si>
  <si>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</si>
  <si>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</si>
  <si>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</si>
  <si>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</si>
  <si>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</si>
  <si>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</si>
  <si>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</si>
  <si>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</si>
  <si>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</si>
  <si>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</si>
  <si>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</si>
  <si>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</si>
  <si>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</si>
  <si>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</si>
  <si>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</si>
  <si>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</si>
  <si>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</si>
  <si>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</si>
  <si>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</si>
  <si>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</si>
  <si>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</si>
  <si>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</si>
  <si>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</si>
  <si>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</si>
  <si>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</si>
  <si>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</si>
  <si>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</si>
  <si>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</si>
  <si>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</si>
  <si>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</si>
  <si>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</si>
  <si>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</si>
  <si>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</si>
  <si>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</si>
  <si>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</si>
  <si>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</si>
  <si>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</si>
  <si>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</si>
  <si>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</si>
  <si>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</si>
  <si>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</si>
  <si>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</si>
  <si>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</si>
  <si>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</si>
  <si>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</si>
  <si>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</si>
  <si>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</si>
  <si>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</si>
  <si>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</si>
  <si>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</si>
  <si>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</si>
  <si>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</si>
  <si>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</si>
  <si>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</si>
  <si>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</si>
  <si>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</si>
  <si>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</si>
  <si>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</si>
  <si>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</si>
  <si>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</si>
  <si>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</si>
  <si>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</si>
  <si>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</si>
  <si>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</si>
  <si>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</si>
  <si>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</si>
  <si>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</si>
  <si>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</si>
  <si>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</si>
  <si>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</si>
  <si>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</si>
  <si>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</si>
  <si>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</si>
  <si>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</si>
  <si>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</si>
  <si>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утилізації засобів індивідуального захисту</t>
  </si>
  <si>
    <t>послуги архіва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</si>
  <si>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</si>
  <si>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</si>
  <si>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</si>
  <si>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</si>
  <si>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</si>
  <si>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</si>
  <si>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</si>
  <si>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>лікарські засоби централізованого постачання</t>
  </si>
  <si>
    <t>імунобіологічні препарати централізованого постачання</t>
  </si>
  <si>
    <t>витрати на відрядження</t>
  </si>
  <si>
    <t>банківське обслуговування</t>
  </si>
  <si>
    <t>закриття податкового кредиту</t>
  </si>
  <si>
    <t>послуги з навчання</t>
  </si>
  <si>
    <t>послуги з оцінки нерухомого майна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</si>
  <si>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</si>
  <si>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</si>
  <si>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</si>
  <si>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</si>
  <si>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</si>
  <si>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</si>
  <si>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</si>
  <si>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</si>
  <si>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</si>
  <si>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</si>
  <si>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</si>
  <si>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</si>
  <si>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</si>
  <si>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</si>
  <si>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</si>
  <si>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</si>
  <si>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</si>
  <si>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2.2.5</t>
  </si>
  <si>
    <t>3.1.1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</si>
  <si>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</si>
  <si>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</si>
  <si>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</si>
  <si>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</si>
  <si>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</si>
  <si>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</si>
  <si>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</si>
  <si>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</si>
  <si>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</si>
  <si>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</si>
  <si>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</si>
  <si>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</si>
  <si>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</si>
  <si>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</si>
  <si>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</si>
  <si>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</si>
  <si>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</si>
  <si>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</si>
  <si>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</si>
  <si>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</si>
  <si>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</si>
  <si>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</si>
  <si>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</si>
  <si>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</si>
  <si>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</si>
  <si>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</si>
  <si>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</si>
  <si>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</si>
  <si>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</si>
  <si>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</si>
  <si>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</si>
  <si>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 xml:space="preserve">імунобіологічні препарати </t>
  </si>
  <si>
    <t>вироби медичного призначення та допоможні засоби</t>
  </si>
  <si>
    <t>2.2.1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</si>
  <si>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</si>
  <si>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</si>
  <si>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</si>
  <si>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</si>
  <si>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</si>
  <si>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</si>
  <si>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</si>
  <si>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</si>
  <si>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</si>
  <si>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</si>
  <si>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</si>
  <si>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</si>
  <si>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</si>
  <si>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</si>
  <si>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</si>
  <si>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</si>
  <si>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</si>
  <si>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</si>
  <si>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</si>
  <si>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</si>
  <si>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Придбання (виготовлення) інших необоротних матеріальних активів</t>
  </si>
  <si>
    <t>Наталя РОМАН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</si>
  <si>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</si>
  <si>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</si>
  <si>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</si>
  <si>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</si>
  <si>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</si>
  <si>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</si>
  <si>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вироби медичного призначення</t>
  </si>
  <si>
    <t>8.1.1</t>
  </si>
  <si>
    <t>11.</t>
  </si>
  <si>
    <t>12.</t>
  </si>
  <si>
    <t>залишки коштів бюджету ВМТГ/ кошти бюджету ВМОТГ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</si>
  <si>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</si>
  <si>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</si>
  <si>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</si>
  <si>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</si>
  <si>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</si>
  <si>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</si>
  <si>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охоронні послуги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</si>
  <si>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</si>
  <si>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</si>
  <si>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</si>
  <si>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</si>
  <si>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технічне обслуговування вузла регулювання теплової енергії</t>
  </si>
  <si>
    <t>технічне обслуговування вузла регулювання теплової енергі</t>
  </si>
  <si>
    <t>-</t>
  </si>
  <si>
    <t>за І квартал  2024 року</t>
  </si>
  <si>
    <t>План за І квартал  2024 року</t>
  </si>
  <si>
    <t>Факт за І квартал  2024 року</t>
  </si>
  <si>
    <t>9.2</t>
  </si>
  <si>
    <t>дитяче харчування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</si>
  <si>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</si>
  <si>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</si>
  <si>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</si>
  <si>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</si>
  <si>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штрафи</t>
  </si>
  <si>
    <t>Холодильник Mains Ref. Vestfrost VLS174A AC</t>
  </si>
  <si>
    <t>технічні умови (смт. Десна. АЗПСМ №8)</t>
  </si>
  <si>
    <t>5.</t>
  </si>
  <si>
    <t>5.1</t>
  </si>
  <si>
    <t>5.1.1</t>
  </si>
  <si>
    <t>9.1.2</t>
  </si>
  <si>
    <t>9.1.3</t>
  </si>
  <si>
    <t>9.2.1</t>
  </si>
  <si>
    <t>9.2.2</t>
  </si>
  <si>
    <t>10.1.4</t>
  </si>
  <si>
    <t>11.1</t>
  </si>
  <si>
    <t>1.3.1</t>
  </si>
  <si>
    <t>амортизація</t>
  </si>
  <si>
    <t>11.1.1</t>
  </si>
  <si>
    <t>за І квартал  2025 року</t>
  </si>
  <si>
    <t>Звітний  І квартал 2025 року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</si>
  <si>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І квартал 2025 року</t>
  </si>
  <si>
    <t>План за І квартал  2025 року</t>
  </si>
  <si>
    <t>Факт за І квартал  2025 року</t>
  </si>
  <si>
    <t>відшкодування коштів на пільгові категорії громадян (орфанні захворювання)</t>
  </si>
  <si>
    <t>послуги редакції газети</t>
  </si>
  <si>
    <t>перевірка засобів обліку</t>
  </si>
  <si>
    <t>обов'язковий медичний огляд працівників</t>
  </si>
  <si>
    <t>ремонт автомобілів</t>
  </si>
  <si>
    <t>виготовлення технічного паспорту приміщення</t>
  </si>
  <si>
    <t>обов'язковий медичний огляд водіїв</t>
  </si>
  <si>
    <t xml:space="preserve">Дизельний генератор MAST GROUP YH11000AE </t>
  </si>
  <si>
    <t>Зарядна портативна електростанція EcoFlow DELTA 3 PRO (EcoFlow) EFDELTAPRO3-EU-Cbox</t>
  </si>
  <si>
    <t>4.</t>
  </si>
  <si>
    <t>4.3</t>
  </si>
  <si>
    <t>4.3.1</t>
  </si>
  <si>
    <t>5.3</t>
  </si>
  <si>
    <t>6.3.1</t>
  </si>
  <si>
    <t>6.3</t>
  </si>
  <si>
    <t>7.1.4</t>
  </si>
  <si>
    <t>7.3</t>
  </si>
  <si>
    <t>7.3.1</t>
  </si>
  <si>
    <t>8.1.5</t>
  </si>
  <si>
    <t>8.3</t>
  </si>
  <si>
    <t>8.3.5</t>
  </si>
  <si>
    <t>9.1.4</t>
  </si>
  <si>
    <t>10.3</t>
  </si>
  <si>
    <t>10.3.4</t>
  </si>
  <si>
    <t>11.1.2</t>
  </si>
  <si>
    <t>11.1.3</t>
  </si>
  <si>
    <t>12.3</t>
  </si>
  <si>
    <t>12.3.1</t>
  </si>
  <si>
    <t>2.1.5</t>
  </si>
  <si>
    <t xml:space="preserve">виготовлення технічного паспорту приміщення </t>
  </si>
  <si>
    <t>8.1.3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</si>
</sst>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382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49" fontId="67" fillId="29" borderId="3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71" fillId="0" borderId="3" xfId="0" applyFont="1" applyFill="1" applyBorder="1" applyAlignment="1">
      <alignment horizontal="left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5" fillId="0" borderId="0" xfId="0" quotePrefix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78" fillId="22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81" fillId="0" borderId="0" xfId="0" quotePrefix="1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6" fillId="22" borderId="0" xfId="0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Border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/>
    </xf>
    <xf numFmtId="179" fontId="88" fillId="22" borderId="0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right" vertical="center"/>
    </xf>
    <xf numFmtId="169" fontId="76" fillId="22" borderId="0" xfId="0" applyNumberFormat="1" applyFont="1" applyFill="1" applyBorder="1" applyAlignment="1">
      <alignment horizontal="right" vertical="center"/>
    </xf>
    <xf numFmtId="0" fontId="77" fillId="22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22" borderId="0" xfId="0" applyFont="1" applyFill="1" applyAlignment="1"/>
    <xf numFmtId="0" fontId="77" fillId="22" borderId="0" xfId="0" applyFont="1" applyFill="1" applyBorder="1" applyAlignment="1">
      <alignment horizontal="center"/>
    </xf>
    <xf numFmtId="0" fontId="77" fillId="22" borderId="0" xfId="0" applyFont="1" applyFill="1" applyBorder="1" applyAlignment="1"/>
    <xf numFmtId="0" fontId="77" fillId="0" borderId="0" xfId="0" applyFont="1" applyFill="1" applyAlignment="1"/>
    <xf numFmtId="0" fontId="90" fillId="22" borderId="0" xfId="0" applyFont="1" applyFill="1" applyAlignment="1">
      <alignment horizontal="center" vertical="center"/>
    </xf>
    <xf numFmtId="0" fontId="90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77" fillId="22" borderId="0" xfId="0" applyFont="1" applyFill="1" applyBorder="1" applyAlignment="1">
      <alignment vertical="center" wrapText="1" shrinkToFit="1"/>
    </xf>
    <xf numFmtId="0" fontId="83" fillId="0" borderId="0" xfId="0" applyFont="1" applyFill="1" applyAlignment="1">
      <alignment vertical="center"/>
    </xf>
    <xf numFmtId="0" fontId="68" fillId="22" borderId="0" xfId="0" applyFont="1" applyFill="1" applyBorder="1" applyAlignment="1">
      <alignment horizontal="center" vertical="center" wrapText="1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179" fontId="93" fillId="22" borderId="3" xfId="0" applyNumberFormat="1" applyFont="1" applyFill="1" applyBorder="1" applyAlignment="1">
      <alignment vertical="center"/>
    </xf>
    <xf numFmtId="0" fontId="81" fillId="0" borderId="0" xfId="0" applyFont="1" applyFill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70" fillId="0" borderId="13" xfId="0" applyFont="1" applyFill="1" applyBorder="1" applyAlignment="1">
      <alignment horizontal="center" wrapText="1"/>
    </xf>
    <xf numFmtId="0" fontId="69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0" fontId="89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87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0" fontId="71" fillId="29" borderId="0" xfId="0" applyFont="1" applyFill="1" applyAlignment="1">
      <alignment horizontal="left"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30" borderId="0" xfId="0" applyFont="1" applyFill="1" applyBorder="1" applyAlignment="1">
      <alignment vertical="center"/>
    </xf>
    <xf numFmtId="0" fontId="81" fillId="29" borderId="3" xfId="0" applyFont="1" applyFill="1" applyBorder="1" applyAlignment="1">
      <alignment horizontal="center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81" fillId="29" borderId="3" xfId="0" applyFont="1" applyFill="1" applyBorder="1" applyAlignment="1">
      <alignment horizontal="center" vertical="center" wrapText="1" shrinkToFit="1"/>
    </xf>
    <xf numFmtId="0" fontId="64" fillId="29" borderId="0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76" fillId="29" borderId="0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170" fontId="99" fillId="29" borderId="0" xfId="0" applyNumberFormat="1" applyFont="1" applyFill="1" applyBorder="1" applyAlignment="1"/>
    <xf numFmtId="179" fontId="97" fillId="22" borderId="3" xfId="0" applyNumberFormat="1" applyFont="1" applyFill="1" applyBorder="1" applyAlignment="1">
      <alignment vertical="center"/>
    </xf>
    <xf numFmtId="179" fontId="101" fillId="29" borderId="3" xfId="0" applyNumberFormat="1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wrapText="1"/>
    </xf>
    <xf numFmtId="170" fontId="67" fillId="29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170" fontId="71" fillId="29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horizontal="left" vertical="center"/>
    </xf>
    <xf numFmtId="0" fontId="62" fillId="29" borderId="0" xfId="0" applyFont="1" applyFill="1" applyAlignment="1">
      <alignment horizontal="center" vertical="center"/>
    </xf>
    <xf numFmtId="179" fontId="76" fillId="29" borderId="18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179" fontId="68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vertical="center"/>
    </xf>
    <xf numFmtId="0" fontId="78" fillId="29" borderId="13" xfId="0" applyFont="1" applyFill="1" applyBorder="1" applyAlignment="1">
      <alignment horizontal="center" wrapText="1"/>
    </xf>
    <xf numFmtId="0" fontId="78" fillId="29" borderId="0" xfId="0" quotePrefix="1" applyFont="1" applyFill="1" applyBorder="1" applyAlignment="1">
      <alignment horizontal="center"/>
    </xf>
    <xf numFmtId="0" fontId="81" fillId="29" borderId="0" xfId="0" applyFont="1" applyFill="1" applyBorder="1" applyAlignment="1">
      <alignment vertical="center"/>
    </xf>
    <xf numFmtId="0" fontId="81" fillId="29" borderId="0" xfId="0" applyFont="1" applyFill="1" applyAlignment="1">
      <alignment vertical="center"/>
    </xf>
    <xf numFmtId="179" fontId="101" fillId="22" borderId="3" xfId="0" applyNumberFormat="1" applyFont="1" applyFill="1" applyBorder="1" applyAlignment="1">
      <alignment vertical="center"/>
    </xf>
    <xf numFmtId="0" fontId="78" fillId="29" borderId="13" xfId="0" applyFont="1" applyFill="1" applyBorder="1" applyAlignment="1">
      <alignment horizontal="center"/>
    </xf>
    <xf numFmtId="0" fontId="81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6" fillId="22" borderId="0" xfId="0" applyFont="1" applyFill="1" applyBorder="1" applyAlignment="1">
      <alignment horizontal="center" vertical="center" wrapText="1"/>
    </xf>
    <xf numFmtId="0" fontId="96" fillId="22" borderId="0" xfId="0" applyFont="1" applyFill="1" applyBorder="1" applyAlignment="1">
      <alignment horizontal="center" vertical="center"/>
    </xf>
    <xf numFmtId="0" fontId="81" fillId="29" borderId="0" xfId="0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22" xfId="0" applyFont="1" applyFill="1" applyBorder="1" applyAlignment="1" applyProtection="1">
      <alignment horizontal="center"/>
      <protection locked="0"/>
    </xf>
    <xf numFmtId="0" fontId="65" fillId="29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81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71" fillId="29" borderId="19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22" borderId="0" xfId="0" applyFont="1" applyFill="1" applyBorder="1" applyAlignment="1">
      <alignment horizontal="center" vertical="center" wrapText="1"/>
    </xf>
    <xf numFmtId="0" fontId="77" fillId="29" borderId="17" xfId="0" applyFont="1" applyFill="1" applyBorder="1" applyAlignment="1">
      <alignment horizontal="center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vertical="center" wrapText="1"/>
    </xf>
    <xf numFmtId="0" fontId="91" fillId="0" borderId="0" xfId="0" applyFont="1" applyAlignment="1">
      <alignment vertical="center" wrapText="1"/>
    </xf>
    <xf numFmtId="0" fontId="77" fillId="22" borderId="0" xfId="0" applyFont="1" applyFill="1" applyBorder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Fill="1" applyBorder="1" applyAlignment="1">
      <alignment horizontal="center"/>
    </xf>
    <xf numFmtId="0" fontId="77" fillId="0" borderId="19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1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177" fontId="64" fillId="0" borderId="3" xfId="0" applyNumberFormat="1" applyFont="1" applyFill="1" applyBorder="1" applyAlignment="1">
      <alignment vertical="center"/>
    </xf>
    <xf numFmtId="177" fontId="93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/>
    </xf>
    <xf numFmtId="0" fontId="68" fillId="0" borderId="23" xfId="0" applyFont="1" applyFill="1" applyBorder="1" applyAlignment="1">
      <alignment horizontal="left" vertical="center"/>
    </xf>
    <xf numFmtId="177" fontId="69" fillId="0" borderId="3" xfId="0" applyNumberFormat="1" applyFont="1" applyFill="1" applyBorder="1" applyAlignment="1">
      <alignment horizontal="right" vertical="center" wrapText="1"/>
    </xf>
    <xf numFmtId="0" fontId="68" fillId="0" borderId="16" xfId="0" applyFont="1" applyFill="1" applyBorder="1" applyAlignment="1">
      <alignment horizontal="left" vertical="center"/>
    </xf>
    <xf numFmtId="0" fontId="75" fillId="0" borderId="3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vertical="center"/>
    </xf>
    <xf numFmtId="177" fontId="97" fillId="0" borderId="3" xfId="0" applyNumberFormat="1" applyFont="1" applyFill="1" applyBorder="1" applyAlignment="1">
      <alignment vertical="center"/>
    </xf>
    <xf numFmtId="177" fontId="68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vertical="center"/>
    </xf>
    <xf numFmtId="0" fontId="68" fillId="0" borderId="0" xfId="0" applyFont="1" applyFill="1" applyBorder="1" applyAlignment="1">
      <alignment horizontal="center" vertical="center" wrapText="1"/>
    </xf>
    <xf numFmtId="179" fontId="69" fillId="0" borderId="0" xfId="0" applyNumberFormat="1" applyFont="1" applyFill="1" applyBorder="1" applyAlignment="1">
      <alignment horizontal="center" vertical="center" wrapText="1"/>
    </xf>
    <xf numFmtId="177" fontId="69" fillId="0" borderId="0" xfId="0" applyNumberFormat="1" applyFont="1" applyFill="1" applyBorder="1" applyAlignment="1">
      <alignment horizontal="center" vertical="center" wrapText="1"/>
    </xf>
    <xf numFmtId="179" fontId="72" fillId="0" borderId="0" xfId="0" applyNumberFormat="1" applyFont="1" applyFill="1" applyBorder="1" applyAlignment="1">
      <alignment vertical="center"/>
    </xf>
    <xf numFmtId="170" fontId="85" fillId="0" borderId="13" xfId="0" applyNumberFormat="1" applyFont="1" applyFill="1" applyBorder="1" applyAlignment="1">
      <alignment horizontal="center" vertical="center" wrapText="1"/>
    </xf>
    <xf numFmtId="170" fontId="85" fillId="0" borderId="13" xfId="0" quotePrefix="1" applyNumberFormat="1" applyFont="1" applyFill="1" applyBorder="1" applyAlignment="1">
      <alignment horizontal="center" vertical="center" wrapText="1"/>
    </xf>
    <xf numFmtId="170" fontId="86" fillId="0" borderId="0" xfId="0" applyNumberFormat="1" applyFont="1" applyFill="1" applyBorder="1" applyAlignment="1">
      <alignment vertical="center"/>
    </xf>
    <xf numFmtId="0" fontId="70" fillId="0" borderId="13" xfId="0" applyFont="1" applyFill="1" applyBorder="1" applyAlignment="1">
      <alignment horizontal="center"/>
    </xf>
    <xf numFmtId="0" fontId="81" fillId="0" borderId="0" xfId="0" applyFont="1" applyFill="1" applyBorder="1" applyAlignment="1">
      <alignment horizontal="center" vertical="center"/>
    </xf>
    <xf numFmtId="0" fontId="81" fillId="0" borderId="0" xfId="0" applyFont="1" applyFill="1" applyAlignment="1">
      <alignment horizontal="left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 wrapText="1"/>
    </xf>
    <xf numFmtId="179" fontId="63" fillId="0" borderId="0" xfId="0" applyNumberFormat="1" applyFont="1" applyFill="1" applyBorder="1" applyAlignment="1">
      <alignment vertical="center"/>
    </xf>
    <xf numFmtId="0" fontId="74" fillId="0" borderId="3" xfId="0" applyFont="1" applyFill="1" applyBorder="1" applyAlignment="1">
      <alignment horizontal="left" vertical="center"/>
    </xf>
    <xf numFmtId="179" fontId="64" fillId="0" borderId="3" xfId="0" applyNumberFormat="1" applyFont="1" applyFill="1" applyBorder="1" applyAlignment="1">
      <alignment horizontal="center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49" fontId="79" fillId="0" borderId="3" xfId="0" applyNumberFormat="1" applyFont="1" applyFill="1" applyBorder="1" applyAlignment="1">
      <alignment horizontal="center" vertical="center"/>
    </xf>
    <xf numFmtId="179" fontId="79" fillId="0" borderId="3" xfId="0" applyNumberFormat="1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80" fontId="64" fillId="0" borderId="0" xfId="0" applyNumberFormat="1" applyFont="1" applyFill="1" applyBorder="1" applyAlignment="1">
      <alignment vertical="center"/>
    </xf>
    <xf numFmtId="179" fontId="93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vertical="center"/>
    </xf>
    <xf numFmtId="179" fontId="64" fillId="0" borderId="0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horizontal="right" vertical="center"/>
    </xf>
    <xf numFmtId="179" fontId="64" fillId="0" borderId="0" xfId="0" applyNumberFormat="1" applyFont="1" applyFill="1" applyBorder="1" applyAlignment="1"/>
    <xf numFmtId="179" fontId="63" fillId="0" borderId="0" xfId="0" applyNumberFormat="1" applyFont="1" applyFill="1" applyBorder="1" applyAlignment="1">
      <alignment horizontal="right" vertical="center"/>
    </xf>
    <xf numFmtId="180" fontId="63" fillId="0" borderId="0" xfId="0" applyNumberFormat="1" applyFont="1" applyFill="1" applyBorder="1" applyAlignment="1">
      <alignment vertical="center"/>
    </xf>
    <xf numFmtId="179" fontId="102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79" fillId="0" borderId="0" xfId="0" applyNumberFormat="1" applyFont="1" applyFill="1" applyBorder="1" applyAlignment="1">
      <alignment horizontal="center" vertical="center" wrapText="1"/>
    </xf>
    <xf numFmtId="0" fontId="102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16" fontId="68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179" fontId="71" fillId="0" borderId="3" xfId="0" applyNumberFormat="1" applyFont="1" applyFill="1" applyBorder="1" applyAlignment="1">
      <alignment horizontal="center" vertical="center" wrapText="1"/>
    </xf>
    <xf numFmtId="169" fontId="63" fillId="0" borderId="3" xfId="0" applyNumberFormat="1" applyFont="1" applyFill="1" applyBorder="1" applyAlignment="1">
      <alignment horizontal="right" vertical="center"/>
    </xf>
    <xf numFmtId="179" fontId="80" fillId="0" borderId="3" xfId="0" applyNumberFormat="1" applyFont="1" applyFill="1" applyBorder="1" applyAlignment="1">
      <alignment horizontal="center" vertical="center" wrapText="1"/>
    </xf>
    <xf numFmtId="169" fontId="84" fillId="0" borderId="3" xfId="0" applyNumberFormat="1" applyFont="1" applyFill="1" applyBorder="1" applyAlignment="1">
      <alignment horizontal="right" vertical="center"/>
    </xf>
    <xf numFmtId="169" fontId="64" fillId="0" borderId="3" xfId="0" applyNumberFormat="1" applyFont="1" applyFill="1" applyBorder="1" applyAlignment="1">
      <alignment horizontal="right" vertical="center"/>
    </xf>
    <xf numFmtId="49" fontId="63" fillId="0" borderId="3" xfId="0" applyNumberFormat="1" applyFont="1" applyFill="1" applyBorder="1" applyAlignment="1">
      <alignment horizontal="center" vertical="center"/>
    </xf>
    <xf numFmtId="49" fontId="84" fillId="0" borderId="3" xfId="0" applyNumberFormat="1" applyFont="1" applyFill="1" applyBorder="1" applyAlignment="1">
      <alignment horizontal="center" vertical="center"/>
    </xf>
    <xf numFmtId="0" fontId="79" fillId="0" borderId="15" xfId="0" applyFont="1" applyFill="1" applyBorder="1" applyAlignment="1">
      <alignment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/>
    </xf>
    <xf numFmtId="0" fontId="104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93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49" fontId="71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 wrapText="1"/>
    </xf>
    <xf numFmtId="179" fontId="71" fillId="0" borderId="0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horizontal="right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170" fontId="80" fillId="0" borderId="0" xfId="0" applyNumberFormat="1" applyFont="1" applyFill="1" applyBorder="1" applyAlignment="1">
      <alignment vertical="center"/>
    </xf>
    <xf numFmtId="0" fontId="70" fillId="0" borderId="13" xfId="0" applyFont="1" applyFill="1" applyBorder="1" applyAlignment="1">
      <alignment horizontal="center"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258"/>
  <sheetViews>
    <sheetView view="pageBreakPreview" topLeftCell="A82" zoomScale="75" zoomScaleNormal="75" zoomScaleSheetLayoutView="75" workbookViewId="0">
      <selection activeCell="F92" sqref="F92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18" customWidth="1"/>
    <col min="5" max="5" width="18.7109375" style="150" customWidth="1"/>
    <col min="6" max="6" width="19" style="140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207" t="s">
        <v>315</v>
      </c>
      <c r="B1" s="208"/>
      <c r="C1" s="208"/>
      <c r="D1" s="208"/>
      <c r="E1" s="208"/>
      <c r="F1" s="208"/>
      <c r="G1" s="208"/>
      <c r="H1" s="208"/>
    </row>
    <row r="2" spans="1:8" ht="30" customHeight="1">
      <c r="A2" s="206" t="s">
        <v>17</v>
      </c>
      <c r="B2" s="206"/>
      <c r="C2" s="206"/>
      <c r="D2" s="206"/>
      <c r="E2" s="206"/>
      <c r="F2" s="206"/>
      <c r="G2" s="206"/>
      <c r="H2" s="206"/>
    </row>
    <row r="3" spans="1:8" s="150" customFormat="1" ht="23.25" customHeight="1">
      <c r="B3" s="119"/>
      <c r="C3" s="183"/>
      <c r="D3" s="119"/>
      <c r="E3" s="119"/>
      <c r="F3" s="119"/>
      <c r="G3" s="119"/>
      <c r="H3" s="153" t="s">
        <v>65</v>
      </c>
    </row>
    <row r="4" spans="1:8" s="150" customFormat="1" ht="48.75" customHeight="1">
      <c r="A4" s="215" t="s">
        <v>23</v>
      </c>
      <c r="B4" s="216" t="s">
        <v>5</v>
      </c>
      <c r="C4" s="221" t="s">
        <v>128</v>
      </c>
      <c r="D4" s="221"/>
      <c r="E4" s="218" t="s">
        <v>314</v>
      </c>
      <c r="F4" s="219"/>
      <c r="G4" s="219"/>
      <c r="H4" s="220"/>
    </row>
    <row r="5" spans="1:8" s="150" customFormat="1" ht="55.5" customHeight="1">
      <c r="A5" s="215"/>
      <c r="B5" s="216"/>
      <c r="C5" s="176" t="s">
        <v>289</v>
      </c>
      <c r="D5" s="176" t="s">
        <v>313</v>
      </c>
      <c r="E5" s="154" t="s">
        <v>258</v>
      </c>
      <c r="F5" s="155" t="s">
        <v>259</v>
      </c>
      <c r="G5" s="155" t="s">
        <v>117</v>
      </c>
      <c r="H5" s="155" t="s">
        <v>118</v>
      </c>
    </row>
    <row r="6" spans="1:8" s="150" customFormat="1" ht="23.25" customHeight="1">
      <c r="A6" s="8">
        <v>1</v>
      </c>
      <c r="B6" s="15">
        <v>2</v>
      </c>
      <c r="C6" s="177">
        <v>3</v>
      </c>
      <c r="D6" s="177">
        <v>5</v>
      </c>
      <c r="E6" s="176">
        <v>7</v>
      </c>
      <c r="F6" s="141">
        <v>8</v>
      </c>
      <c r="G6" s="141">
        <v>9</v>
      </c>
      <c r="H6" s="141">
        <v>10</v>
      </c>
    </row>
    <row r="7" spans="1:8" s="150" customFormat="1" ht="24.95" customHeight="1">
      <c r="A7" s="217" t="s">
        <v>106</v>
      </c>
      <c r="B7" s="217"/>
      <c r="C7" s="217"/>
      <c r="D7" s="217"/>
      <c r="E7" s="217"/>
      <c r="F7" s="217"/>
      <c r="G7" s="217"/>
      <c r="H7" s="217"/>
    </row>
    <row r="8" spans="1:8" s="150" customFormat="1" ht="45" customHeight="1">
      <c r="A8" s="5" t="s">
        <v>129</v>
      </c>
      <c r="B8" s="6">
        <v>1000</v>
      </c>
      <c r="C8" s="7">
        <f>'Розшифровка 1 до Формування'!D7</f>
        <v>12403.5</v>
      </c>
      <c r="D8" s="7">
        <f>F8</f>
        <v>11797.3</v>
      </c>
      <c r="E8" s="38">
        <f>'Розшифровка 1 до Формування'!E7</f>
        <v>10913.199999999999</v>
      </c>
      <c r="F8" s="38">
        <f>'Розшифровка 1 до Формування'!F7</f>
        <v>11797.3</v>
      </c>
      <c r="G8" s="7">
        <f>F8-E8</f>
        <v>884.10000000000036</v>
      </c>
      <c r="H8" s="7">
        <f>(F8/E8)*100</f>
        <v>108.10119854854672</v>
      </c>
    </row>
    <row r="9" spans="1:8" s="150" customFormat="1" ht="47.25" customHeight="1">
      <c r="A9" s="5" t="s">
        <v>73</v>
      </c>
      <c r="B9" s="6">
        <v>1010</v>
      </c>
      <c r="C9" s="38">
        <f t="shared" ref="C9" si="0">SUM(C10:C14)</f>
        <v>-11466.8</v>
      </c>
      <c r="D9" s="38">
        <f t="shared" ref="D9:F9" si="1">SUM(D10:D14)</f>
        <v>-10211.1</v>
      </c>
      <c r="E9" s="38">
        <f t="shared" ref="E9" si="2">SUM(E10:E14)</f>
        <v>-10057.499999999998</v>
      </c>
      <c r="F9" s="38">
        <f t="shared" si="1"/>
        <v>-10211.1</v>
      </c>
      <c r="G9" s="7">
        <f t="shared" ref="G9:G43" si="3">F9-E9</f>
        <v>-153.60000000000218</v>
      </c>
      <c r="H9" s="7">
        <f t="shared" ref="H9:H43" si="4">(F9/E9)*100</f>
        <v>101.52721849366147</v>
      </c>
    </row>
    <row r="10" spans="1:8" s="150" customFormat="1" ht="30" customHeight="1">
      <c r="A10" s="1" t="s">
        <v>74</v>
      </c>
      <c r="B10" s="196">
        <v>1011</v>
      </c>
      <c r="C10" s="9">
        <f>-SUM('Розшифровка 2 до формування'!D9,'Розшифровка 2 до формування'!D78,'Розшифровка 2 до формування'!D95,'Розшифровка 2 до формування'!D136,'Розшифровка 2 до формування'!D148,'Розшифровка 2 до формування'!D169,'Розшифровка 2 до формування'!D195)</f>
        <v>-2685.7</v>
      </c>
      <c r="D10" s="9">
        <f>F10</f>
        <v>-2553.6999999999998</v>
      </c>
      <c r="E10" s="87">
        <f>-SUM('Розшифровка 2 до формування'!E9,'Розшифровка 2 до формування'!E78,'Розшифровка 2 до формування'!E95,'Розшифровка 2 до формування'!E136,'Розшифровка 2 до формування'!E148,'Розшифровка 2 до формування'!E169,'Розшифровка 2 до формування'!E195)</f>
        <v>-2025.9</v>
      </c>
      <c r="F10" s="87">
        <f>-SUM('Розшифровка 2 до формування'!F9,'Розшифровка 2 до формування'!F78,'Розшифровка 2 до формування'!F95,'Розшифровка 2 до формування'!F136,'Розшифровка 2 до формування'!F148,'Розшифровка 2 до формування'!F169,'Розшифровка 2 до формування'!F195)</f>
        <v>-2553.6999999999998</v>
      </c>
      <c r="G10" s="9">
        <f t="shared" si="3"/>
        <v>-527.79999999999973</v>
      </c>
      <c r="H10" s="9">
        <f t="shared" si="4"/>
        <v>126.05261858926895</v>
      </c>
    </row>
    <row r="11" spans="1:8" s="150" customFormat="1" ht="28.5" customHeight="1">
      <c r="A11" s="1" t="s">
        <v>2</v>
      </c>
      <c r="B11" s="196">
        <v>1012</v>
      </c>
      <c r="C11" s="9">
        <f>-SUM('Розшифровка 2 до формування'!D24,'Розшифровка 2 до формування'!D201)</f>
        <v>-6786.0999999999995</v>
      </c>
      <c r="D11" s="9">
        <f t="shared" ref="D11:D14" si="5">F11</f>
        <v>-5741.8</v>
      </c>
      <c r="E11" s="87">
        <f>-SUM('Розшифровка 2 до формування'!E24,'Розшифровка 2 до формування'!E201)</f>
        <v>-6058.7999999999993</v>
      </c>
      <c r="F11" s="87">
        <f>-SUM('Розшифровка 2 до формування'!F24,'Розшифровка 2 до формування'!F201)</f>
        <v>-5741.8</v>
      </c>
      <c r="G11" s="9">
        <f t="shared" si="3"/>
        <v>316.99999999999909</v>
      </c>
      <c r="H11" s="9">
        <f t="shared" si="4"/>
        <v>94.767940846372227</v>
      </c>
    </row>
    <row r="12" spans="1:8" s="150" customFormat="1" ht="29.25" customHeight="1">
      <c r="A12" s="1" t="s">
        <v>3</v>
      </c>
      <c r="B12" s="196">
        <v>1013</v>
      </c>
      <c r="C12" s="9">
        <f>-SUM('Розшифровка 2 до формування'!D25,'Розшифровка 2 до формування'!D171,'Розшифровка 2 до формування'!D202)</f>
        <v>-1377.6</v>
      </c>
      <c r="D12" s="9">
        <f t="shared" si="5"/>
        <v>-1175.9000000000001</v>
      </c>
      <c r="E12" s="87">
        <f>-SUM('Розшифровка 2 до формування'!E25,'Розшифровка 2 до формування'!E171,'Розшифровка 2 до формування'!E202)</f>
        <v>-1267.3</v>
      </c>
      <c r="F12" s="87">
        <f>-SUM('Розшифровка 2 до формування'!F25,'Розшифровка 2 до формування'!F171,'Розшифровка 2 до формування'!F202)</f>
        <v>-1175.9000000000001</v>
      </c>
      <c r="G12" s="9">
        <f t="shared" si="3"/>
        <v>91.399999999999864</v>
      </c>
      <c r="H12" s="9">
        <f t="shared" si="4"/>
        <v>92.787816618006801</v>
      </c>
    </row>
    <row r="13" spans="1:8" s="150" customFormat="1" ht="29.25" customHeight="1">
      <c r="A13" s="1" t="s">
        <v>4</v>
      </c>
      <c r="B13" s="196">
        <v>1014</v>
      </c>
      <c r="C13" s="9">
        <f>-SUM('Розшифровка 2 до формування'!D26,'Розшифровка 2 до формування'!D153,'Розшифровка 2 до формування'!D184,'Розшифровка 2 до формування'!D188,)</f>
        <v>-483.6</v>
      </c>
      <c r="D13" s="9">
        <f t="shared" si="5"/>
        <v>-511.70000000000005</v>
      </c>
      <c r="E13" s="87">
        <f>-SUM('Розшифровка 2 до формування'!E26,'Розшифровка 2 до формування'!E153,'Розшифровка 2 до формування'!E184,'Розшифровка 2 до формування'!E188,)</f>
        <v>-488.8</v>
      </c>
      <c r="F13" s="87">
        <f>-SUM('Розшифровка 2 до формування'!F26,'Розшифровка 2 до формування'!F153,'Розшифровка 2 до формування'!F184,'Розшифровка 2 до формування'!F188,)</f>
        <v>-511.70000000000005</v>
      </c>
      <c r="G13" s="9">
        <f t="shared" si="3"/>
        <v>-22.900000000000034</v>
      </c>
      <c r="H13" s="9">
        <f t="shared" si="4"/>
        <v>104.68494271685762</v>
      </c>
    </row>
    <row r="14" spans="1:8" s="150" customFormat="1" ht="30" customHeight="1">
      <c r="A14" s="1" t="s">
        <v>58</v>
      </c>
      <c r="B14" s="196">
        <v>1015</v>
      </c>
      <c r="C14" s="9">
        <f>-SUM('Розшифровка 2 до формування'!D27,'Розшифровка 2 до формування'!D84,'Розшифровка 2 до формування'!D172,)</f>
        <v>-133.80000000000001</v>
      </c>
      <c r="D14" s="9">
        <f t="shared" si="5"/>
        <v>-228.00000000000006</v>
      </c>
      <c r="E14" s="87">
        <f>-SUM('Розшифровка 2 до формування'!E27,'Розшифровка 2 до формування'!E84,'Розшифровка 2 до формування'!E172,)</f>
        <v>-216.7</v>
      </c>
      <c r="F14" s="87">
        <f>-SUM('Розшифровка 2 до формування'!F27,'Розшифровка 2 до формування'!F84,'Розшифровка 2 до формування'!F172,)</f>
        <v>-228.00000000000006</v>
      </c>
      <c r="G14" s="9">
        <f t="shared" si="3"/>
        <v>-11.300000000000068</v>
      </c>
      <c r="H14" s="9">
        <f t="shared" si="4"/>
        <v>105.21458237194281</v>
      </c>
    </row>
    <row r="15" spans="1:8" s="150" customFormat="1" ht="28.5" customHeight="1">
      <c r="A15" s="5" t="s">
        <v>25</v>
      </c>
      <c r="B15" s="196">
        <v>1020</v>
      </c>
      <c r="C15" s="7">
        <f>SUM(C8:C9)</f>
        <v>936.70000000000073</v>
      </c>
      <c r="D15" s="7">
        <f>SUM(D8:D9)</f>
        <v>1586.1999999999989</v>
      </c>
      <c r="E15" s="7">
        <f>SUM(E8:E9)</f>
        <v>855.70000000000073</v>
      </c>
      <c r="F15" s="7">
        <f>SUM(F8:F9)</f>
        <v>1586.1999999999989</v>
      </c>
      <c r="G15" s="7">
        <f t="shared" si="3"/>
        <v>730.49999999999818</v>
      </c>
      <c r="H15" s="7">
        <f t="shared" si="4"/>
        <v>185.36870398504121</v>
      </c>
    </row>
    <row r="16" spans="1:8" s="150" customFormat="1" ht="30.75" customHeight="1">
      <c r="A16" s="5" t="s">
        <v>96</v>
      </c>
      <c r="B16" s="6">
        <v>1020</v>
      </c>
      <c r="C16" s="7">
        <f t="shared" ref="C16" si="6">SUM(C17:C21)</f>
        <v>-965.9</v>
      </c>
      <c r="D16" s="7">
        <f t="shared" ref="D16:F16" si="7">SUM(D17:D21)</f>
        <v>-867.40000000000009</v>
      </c>
      <c r="E16" s="38">
        <f t="shared" ref="E16" si="8">SUM(E17:E21)</f>
        <v>-630.79999999999995</v>
      </c>
      <c r="F16" s="7">
        <f t="shared" si="7"/>
        <v>-867.40000000000009</v>
      </c>
      <c r="G16" s="7">
        <f t="shared" si="3"/>
        <v>-236.60000000000014</v>
      </c>
      <c r="H16" s="7">
        <f t="shared" si="4"/>
        <v>137.50792644261259</v>
      </c>
    </row>
    <row r="17" spans="1:8" s="150" customFormat="1" ht="27.75" customHeight="1">
      <c r="A17" s="1" t="s">
        <v>74</v>
      </c>
      <c r="B17" s="196">
        <v>1021</v>
      </c>
      <c r="C17" s="9">
        <f>-SUM('Розшифровка 2 до формування'!D47,)</f>
        <v>-49.4</v>
      </c>
      <c r="D17" s="9">
        <f>F17</f>
        <v>-34</v>
      </c>
      <c r="E17" s="87">
        <f>-SUM('Розшифровка 2 до формування'!E47,)</f>
        <v>-28</v>
      </c>
      <c r="F17" s="87">
        <f>-SUM('Розшифровка 2 до формування'!F47,)</f>
        <v>-34</v>
      </c>
      <c r="G17" s="9">
        <f t="shared" si="3"/>
        <v>-6</v>
      </c>
      <c r="H17" s="9">
        <f t="shared" si="4"/>
        <v>121.42857142857142</v>
      </c>
    </row>
    <row r="18" spans="1:8" s="150" customFormat="1" ht="27.75" customHeight="1">
      <c r="A18" s="1" t="s">
        <v>2</v>
      </c>
      <c r="B18" s="196">
        <v>1022</v>
      </c>
      <c r="C18" s="9">
        <f>-SUM('Розшифровка 2 до формування'!D51,)</f>
        <v>-755.9</v>
      </c>
      <c r="D18" s="9">
        <f t="shared" ref="D18:D21" si="9">F18</f>
        <v>-672.7</v>
      </c>
      <c r="E18" s="87">
        <f>-SUM('Розшифровка 2 до формування'!E51)</f>
        <v>-490.3</v>
      </c>
      <c r="F18" s="87">
        <f>-SUM('Розшифровка 2 до формування'!F51)</f>
        <v>-672.7</v>
      </c>
      <c r="G18" s="9">
        <f t="shared" si="3"/>
        <v>-182.40000000000003</v>
      </c>
      <c r="H18" s="9">
        <f t="shared" si="4"/>
        <v>137.20171323679381</v>
      </c>
    </row>
    <row r="19" spans="1:8" s="150" customFormat="1" ht="27.75" customHeight="1">
      <c r="A19" s="1" t="s">
        <v>3</v>
      </c>
      <c r="B19" s="196">
        <v>1023</v>
      </c>
      <c r="C19" s="9">
        <f>-SUM('Розшифровка 2 до формування'!D52,)</f>
        <v>-150.19999999999999</v>
      </c>
      <c r="D19" s="9">
        <f t="shared" si="9"/>
        <v>-148</v>
      </c>
      <c r="E19" s="87">
        <f>-SUM('Розшифровка 2 до формування'!E52)</f>
        <v>-102.5</v>
      </c>
      <c r="F19" s="87">
        <f>-SUM('Розшифровка 2 до формування'!F52)</f>
        <v>-148</v>
      </c>
      <c r="G19" s="9">
        <f t="shared" si="3"/>
        <v>-45.5</v>
      </c>
      <c r="H19" s="9">
        <f t="shared" si="4"/>
        <v>144.39024390243901</v>
      </c>
    </row>
    <row r="20" spans="1:8" s="150" customFormat="1" ht="27.75" customHeight="1">
      <c r="A20" s="1" t="s">
        <v>4</v>
      </c>
      <c r="B20" s="196">
        <v>1024</v>
      </c>
      <c r="C20" s="9"/>
      <c r="D20" s="9">
        <f t="shared" si="9"/>
        <v>0</v>
      </c>
      <c r="E20" s="87">
        <v>0</v>
      </c>
      <c r="F20" s="9">
        <v>0</v>
      </c>
      <c r="G20" s="9"/>
      <c r="H20" s="9"/>
    </row>
    <row r="21" spans="1:8" s="150" customFormat="1" ht="27.75" customHeight="1">
      <c r="A21" s="1" t="s">
        <v>75</v>
      </c>
      <c r="B21" s="196">
        <v>1025</v>
      </c>
      <c r="C21" s="9">
        <f>-SUM('Розшифровка 2 до формування'!D54,)</f>
        <v>-10.4</v>
      </c>
      <c r="D21" s="9">
        <f t="shared" si="9"/>
        <v>-12.7</v>
      </c>
      <c r="E21" s="87">
        <f>-SUM('Розшифровка 2 до формування'!E54)</f>
        <v>-10</v>
      </c>
      <c r="F21" s="87">
        <f>-SUM('Розшифровка 2 до формування'!F54)</f>
        <v>-12.7</v>
      </c>
      <c r="G21" s="9">
        <f t="shared" si="3"/>
        <v>-2.6999999999999993</v>
      </c>
      <c r="H21" s="9">
        <f t="shared" si="4"/>
        <v>127</v>
      </c>
    </row>
    <row r="22" spans="1:8" s="150" customFormat="1" ht="31.5" customHeight="1">
      <c r="A22" s="5" t="s">
        <v>43</v>
      </c>
      <c r="B22" s="6">
        <v>1040</v>
      </c>
      <c r="C22" s="7">
        <f>SUM(C23:C24)</f>
        <v>3486.3999999999996</v>
      </c>
      <c r="D22" s="7">
        <f>SUM(D23:D24)</f>
        <v>3006</v>
      </c>
      <c r="E22" s="38">
        <f>SUM(E23:E24)</f>
        <v>3087.1</v>
      </c>
      <c r="F22" s="7">
        <f>SUM(F23:F24)</f>
        <v>3006</v>
      </c>
      <c r="G22" s="7">
        <f t="shared" si="3"/>
        <v>-81.099999999999909</v>
      </c>
      <c r="H22" s="7">
        <f t="shared" si="4"/>
        <v>97.372939004243463</v>
      </c>
    </row>
    <row r="23" spans="1:8" s="150" customFormat="1" ht="30.75" customHeight="1">
      <c r="A23" s="1" t="s">
        <v>44</v>
      </c>
      <c r="B23" s="196">
        <v>1041</v>
      </c>
      <c r="C23" s="9"/>
      <c r="D23" s="9"/>
      <c r="E23" s="87"/>
      <c r="F23" s="9"/>
      <c r="G23" s="9">
        <f t="shared" si="3"/>
        <v>0</v>
      </c>
      <c r="H23" s="9"/>
    </row>
    <row r="24" spans="1:8" s="150" customFormat="1" ht="27.75" customHeight="1">
      <c r="A24" s="1" t="s">
        <v>45</v>
      </c>
      <c r="B24" s="196">
        <v>1042</v>
      </c>
      <c r="C24" s="9">
        <f>'Розшифровка 1 до Формування'!D11</f>
        <v>3486.3999999999996</v>
      </c>
      <c r="D24" s="9">
        <f>F24</f>
        <v>3006</v>
      </c>
      <c r="E24" s="87">
        <f>'Розшифровка 1 до Формування'!E11</f>
        <v>3087.1</v>
      </c>
      <c r="F24" s="87">
        <f>'Розшифровка 1 до Формування'!F11</f>
        <v>3006</v>
      </c>
      <c r="G24" s="9">
        <f t="shared" si="3"/>
        <v>-81.099999999999909</v>
      </c>
      <c r="H24" s="9">
        <f t="shared" si="4"/>
        <v>97.372939004243463</v>
      </c>
    </row>
    <row r="25" spans="1:8" s="150" customFormat="1" ht="39" customHeight="1">
      <c r="A25" s="5" t="s">
        <v>12</v>
      </c>
      <c r="B25" s="6">
        <v>1030</v>
      </c>
      <c r="C25" s="7">
        <f t="shared" ref="C25" si="10">SUM(C26:C30)</f>
        <v>-3838.1</v>
      </c>
      <c r="D25" s="7">
        <f t="shared" ref="D25:F25" si="11">SUM(D26:D30)</f>
        <v>-3394.7999999999997</v>
      </c>
      <c r="E25" s="38">
        <f>SUM(E26:E30)</f>
        <v>-3653.4</v>
      </c>
      <c r="F25" s="7">
        <f t="shared" si="11"/>
        <v>-3394.7999999999997</v>
      </c>
      <c r="G25" s="7">
        <f t="shared" si="3"/>
        <v>258.60000000000036</v>
      </c>
      <c r="H25" s="7">
        <f t="shared" si="4"/>
        <v>92.9216620134669</v>
      </c>
    </row>
    <row r="26" spans="1:8" s="150" customFormat="1" ht="27.75" customHeight="1">
      <c r="A26" s="1" t="s">
        <v>74</v>
      </c>
      <c r="B26" s="196">
        <v>1031</v>
      </c>
      <c r="C26" s="9">
        <f>-SUM('Розшифровка 2 до формування'!D59,'Розшифровка 2 до формування'!D87,'Розшифровка 2 до формування'!D104,'Розшифровка 2 до формування'!D112,'Розшифровка 2 до формування'!D127,'Розшифровка 2 до формування'!D142,'Розшифровка 2 до формування'!D155,'Розшифровка 2 до формування'!D206)</f>
        <v>-1081.5</v>
      </c>
      <c r="D26" s="9">
        <f>F26</f>
        <v>-706.9</v>
      </c>
      <c r="E26" s="87">
        <f>-SUM('Розшифровка 2 до формування'!E59,'Розшифровка 2 до формування'!E87,'Розшифровка 2 до формування'!E104,'Розшифровка 2 до формування'!E112,'Розшифровка 2 до формування'!E127,'Розшифровка 2 до формування'!E142,'Розшифровка 2 до формування'!E155,'Розшифровка 2 до формування'!E206)</f>
        <v>-1132.3</v>
      </c>
      <c r="F26" s="87">
        <f>-SUM('Розшифровка 2 до формування'!F59,'Розшифровка 2 до формування'!F87,'Розшифровка 2 до формування'!F104,'Розшифровка 2 до формування'!F112,'Розшифровка 2 до формування'!F127,'Розшифровка 2 до формування'!F142,'Розшифровка 2 до формування'!F155,'Розшифровка 2 до формування'!F206)</f>
        <v>-706.9</v>
      </c>
      <c r="G26" s="9">
        <f t="shared" si="3"/>
        <v>425.4</v>
      </c>
      <c r="H26" s="9">
        <f t="shared" si="4"/>
        <v>62.430451293826728</v>
      </c>
    </row>
    <row r="27" spans="1:8" s="150" customFormat="1" ht="27.75" customHeight="1">
      <c r="A27" s="1" t="s">
        <v>2</v>
      </c>
      <c r="B27" s="196">
        <v>1032</v>
      </c>
      <c r="C27" s="9">
        <f>-SUM('Розшифровка 2 до формування'!D63,)</f>
        <v>-2065.4</v>
      </c>
      <c r="D27" s="9">
        <f t="shared" ref="D27:D30" si="12">F27</f>
        <v>-1875.7</v>
      </c>
      <c r="E27" s="87">
        <f>-SUM('Розшифровка 2 до формування'!E63,)</f>
        <v>-1781.2</v>
      </c>
      <c r="F27" s="87">
        <f>-SUM('Розшифровка 2 до формування'!F63,)</f>
        <v>-1875.7</v>
      </c>
      <c r="G27" s="9">
        <f t="shared" si="3"/>
        <v>-94.5</v>
      </c>
      <c r="H27" s="9">
        <f t="shared" si="4"/>
        <v>105.30541208174265</v>
      </c>
    </row>
    <row r="28" spans="1:8" s="150" customFormat="1" ht="27.75" customHeight="1">
      <c r="A28" s="1" t="s">
        <v>3</v>
      </c>
      <c r="B28" s="196">
        <v>1033</v>
      </c>
      <c r="C28" s="9">
        <f>-SUM('Розшифровка 2 до формування'!D64,)</f>
        <v>-463.1</v>
      </c>
      <c r="D28" s="9">
        <f t="shared" si="12"/>
        <v>-442.5</v>
      </c>
      <c r="E28" s="87">
        <f>-SUM('Розшифровка 2 до формування'!E64,)</f>
        <v>-372.3</v>
      </c>
      <c r="F28" s="87">
        <f>-SUM('Розшифровка 2 до формування'!F64,)</f>
        <v>-442.5</v>
      </c>
      <c r="G28" s="9">
        <f t="shared" si="3"/>
        <v>-70.199999999999989</v>
      </c>
      <c r="H28" s="9">
        <f t="shared" si="4"/>
        <v>118.85576148267525</v>
      </c>
    </row>
    <row r="29" spans="1:8" s="150" customFormat="1" ht="27.75" customHeight="1">
      <c r="A29" s="1" t="s">
        <v>4</v>
      </c>
      <c r="B29" s="196">
        <v>1034</v>
      </c>
      <c r="C29" s="9">
        <f>-SUM('Розшифровка 2 до формування'!D190)</f>
        <v>-4.5</v>
      </c>
      <c r="D29" s="9">
        <f t="shared" si="12"/>
        <v>0</v>
      </c>
      <c r="E29" s="87">
        <f>-SUM('Розшифровка 2 до формування'!E190,)</f>
        <v>-1.6</v>
      </c>
      <c r="F29" s="87">
        <f>-SUM('Розшифровка 2 до формування'!F190,)</f>
        <v>0</v>
      </c>
      <c r="G29" s="9">
        <f t="shared" si="3"/>
        <v>1.6</v>
      </c>
      <c r="H29" s="9"/>
    </row>
    <row r="30" spans="1:8" s="150" customFormat="1" ht="27.75" customHeight="1">
      <c r="A30" s="1" t="s">
        <v>76</v>
      </c>
      <c r="B30" s="196">
        <v>1035</v>
      </c>
      <c r="C30" s="9">
        <f>-SUM('Розшифровка 2 до формування'!D65,'Розшифровка 2 до формування'!D89,'Розшифровка 2 до формування'!D176,)</f>
        <v>-223.6</v>
      </c>
      <c r="D30" s="9">
        <f t="shared" si="12"/>
        <v>-369.7</v>
      </c>
      <c r="E30" s="87">
        <f>-SUM('Розшифровка 2 до формування'!E65,'Розшифровка 2 до формування'!E89,'Розшифровка 2 до формування'!E176,)</f>
        <v>-366</v>
      </c>
      <c r="F30" s="87">
        <f>-SUM('Розшифровка 2 до формування'!F65,'Розшифровка 2 до формування'!F89,'Розшифровка 2 до формування'!F176,)</f>
        <v>-369.7</v>
      </c>
      <c r="G30" s="9">
        <f t="shared" si="3"/>
        <v>-3.6999999999999886</v>
      </c>
      <c r="H30" s="9">
        <f t="shared" si="4"/>
        <v>101.01092896174863</v>
      </c>
    </row>
    <row r="31" spans="1:8" s="150" customFormat="1" ht="47.25" customHeight="1">
      <c r="A31" s="5" t="s">
        <v>1</v>
      </c>
      <c r="B31" s="6">
        <v>1100</v>
      </c>
      <c r="C31" s="7">
        <f>SUM(C15,C16,C22,C25)</f>
        <v>-380.89999999999964</v>
      </c>
      <c r="D31" s="7">
        <f>SUM(D15,D16,D22,D25)</f>
        <v>329.99999999999909</v>
      </c>
      <c r="E31" s="7">
        <f>SUM(E15,E16,E22,E25)</f>
        <v>-341.39999999999918</v>
      </c>
      <c r="F31" s="7">
        <f>SUM(F15,F16,F22,F25)</f>
        <v>329.99999999999909</v>
      </c>
      <c r="G31" s="7">
        <f t="shared" si="3"/>
        <v>671.39999999999827</v>
      </c>
      <c r="H31" s="7">
        <f t="shared" si="4"/>
        <v>-96.660808435852346</v>
      </c>
    </row>
    <row r="32" spans="1:8" s="150" customFormat="1" ht="27.75" customHeight="1">
      <c r="A32" s="5" t="s">
        <v>130</v>
      </c>
      <c r="B32" s="6">
        <v>1130</v>
      </c>
      <c r="C32" s="7">
        <f>'Розшифровка 1 до Формування'!D21</f>
        <v>281</v>
      </c>
      <c r="D32" s="7">
        <f>'Розшифровка 1 до Формування'!F21</f>
        <v>318.5</v>
      </c>
      <c r="E32" s="38">
        <f>'Розшифровка 1 до Формування'!E21</f>
        <v>230</v>
      </c>
      <c r="F32" s="38">
        <f>'Розшифровка 1 до Формування'!F21</f>
        <v>318.5</v>
      </c>
      <c r="G32" s="7">
        <f t="shared" si="3"/>
        <v>88.5</v>
      </c>
      <c r="H32" s="7">
        <f t="shared" si="4"/>
        <v>138.47826086956522</v>
      </c>
    </row>
    <row r="33" spans="1:12" s="150" customFormat="1" ht="27.75" customHeight="1">
      <c r="A33" s="10" t="s">
        <v>131</v>
      </c>
      <c r="B33" s="6">
        <v>1140</v>
      </c>
      <c r="C33" s="9" t="s">
        <v>26</v>
      </c>
      <c r="D33" s="9" t="s">
        <v>26</v>
      </c>
      <c r="E33" s="87" t="s">
        <v>26</v>
      </c>
      <c r="F33" s="9" t="s">
        <v>26</v>
      </c>
      <c r="G33" s="7"/>
      <c r="H33" s="7"/>
    </row>
    <row r="34" spans="1:12" s="150" customFormat="1" ht="27.75" customHeight="1">
      <c r="A34" s="5" t="s">
        <v>132</v>
      </c>
      <c r="B34" s="6">
        <v>1150</v>
      </c>
      <c r="C34" s="7">
        <f>'Розшифровка 1 до Формування'!D23</f>
        <v>135.5</v>
      </c>
      <c r="D34" s="7">
        <f>F34</f>
        <v>152.6</v>
      </c>
      <c r="E34" s="38">
        <f>'Розшифровка 1 до Формування'!E23</f>
        <v>146.6</v>
      </c>
      <c r="F34" s="38">
        <f>'Розшифровка 1 до Формування'!F23</f>
        <v>152.6</v>
      </c>
      <c r="G34" s="7">
        <f t="shared" si="3"/>
        <v>6</v>
      </c>
      <c r="H34" s="7">
        <f t="shared" si="4"/>
        <v>104.09276944065485</v>
      </c>
    </row>
    <row r="35" spans="1:12" s="150" customFormat="1" ht="27.75" customHeight="1">
      <c r="A35" s="5" t="s">
        <v>133</v>
      </c>
      <c r="B35" s="6">
        <v>1160</v>
      </c>
      <c r="C35" s="9" t="s">
        <v>26</v>
      </c>
      <c r="D35" s="9" t="s">
        <v>26</v>
      </c>
      <c r="E35" s="87" t="s">
        <v>26</v>
      </c>
      <c r="F35" s="9" t="s">
        <v>26</v>
      </c>
      <c r="G35" s="7"/>
      <c r="H35" s="7"/>
    </row>
    <row r="36" spans="1:12" s="150" customFormat="1" ht="28.5" customHeight="1">
      <c r="A36" s="5" t="s">
        <v>15</v>
      </c>
      <c r="B36" s="6">
        <v>1170</v>
      </c>
      <c r="C36" s="7">
        <f>SUM(C31, C32:C35)</f>
        <v>35.600000000000364</v>
      </c>
      <c r="D36" s="7">
        <f>SUM(D31, D32:D35)</f>
        <v>801.09999999999911</v>
      </c>
      <c r="E36" s="38">
        <f>SUM(E31, E32:E35)</f>
        <v>35.200000000000813</v>
      </c>
      <c r="F36" s="7">
        <f>SUM(F31, F32:F35)</f>
        <v>801.09999999999911</v>
      </c>
      <c r="G36" s="7">
        <f t="shared" si="3"/>
        <v>765.89999999999827</v>
      </c>
      <c r="H36" s="7">
        <f t="shared" si="4"/>
        <v>2275.8522727272175</v>
      </c>
    </row>
    <row r="37" spans="1:12" s="150" customFormat="1" ht="27.75" customHeight="1">
      <c r="A37" s="10" t="s">
        <v>28</v>
      </c>
      <c r="B37" s="196">
        <v>1180</v>
      </c>
      <c r="C37" s="9" t="s">
        <v>26</v>
      </c>
      <c r="D37" s="9" t="s">
        <v>26</v>
      </c>
      <c r="E37" s="87" t="s">
        <v>26</v>
      </c>
      <c r="F37" s="9" t="s">
        <v>26</v>
      </c>
      <c r="G37" s="9"/>
      <c r="H37" s="9"/>
    </row>
    <row r="38" spans="1:12" s="150" customFormat="1" ht="27" customHeight="1">
      <c r="A38" s="10" t="s">
        <v>29</v>
      </c>
      <c r="B38" s="196">
        <v>1181</v>
      </c>
      <c r="C38" s="9"/>
      <c r="D38" s="9"/>
      <c r="E38" s="87"/>
      <c r="F38" s="9"/>
      <c r="G38" s="7"/>
      <c r="H38" s="9"/>
    </row>
    <row r="39" spans="1:12" s="150" customFormat="1" ht="28.5" customHeight="1">
      <c r="A39" s="5" t="s">
        <v>54</v>
      </c>
      <c r="B39" s="196">
        <v>1200</v>
      </c>
      <c r="C39" s="7">
        <f>SUM(C36:C38)</f>
        <v>35.600000000000364</v>
      </c>
      <c r="D39" s="7">
        <f>SUM(D36:D38)</f>
        <v>801.09999999999911</v>
      </c>
      <c r="E39" s="38">
        <f>SUM(E36:E38)</f>
        <v>35.200000000000813</v>
      </c>
      <c r="F39" s="7">
        <f>SUM(F36:F38)</f>
        <v>801.09999999999911</v>
      </c>
      <c r="G39" s="7">
        <f t="shared" si="3"/>
        <v>765.89999999999827</v>
      </c>
      <c r="H39" s="7">
        <f t="shared" si="4"/>
        <v>2275.8522727272175</v>
      </c>
    </row>
    <row r="40" spans="1:12" s="150" customFormat="1" ht="31.5" customHeight="1">
      <c r="A40" s="10" t="s">
        <v>55</v>
      </c>
      <c r="B40" s="196">
        <v>1201</v>
      </c>
      <c r="C40" s="87">
        <f t="shared" ref="C40" si="13">SUM(C37:C39)</f>
        <v>35.600000000000364</v>
      </c>
      <c r="D40" s="87">
        <f t="shared" ref="D40:F40" si="14">SUM(D37:D39)</f>
        <v>801.09999999999911</v>
      </c>
      <c r="E40" s="87">
        <f t="shared" ref="E40" si="15">SUM(E37:E39)</f>
        <v>35.200000000000813</v>
      </c>
      <c r="F40" s="87">
        <f t="shared" si="14"/>
        <v>801.09999999999911</v>
      </c>
      <c r="G40" s="9"/>
      <c r="H40" s="9"/>
    </row>
    <row r="41" spans="1:12" s="150" customFormat="1" ht="33" customHeight="1">
      <c r="A41" s="10" t="s">
        <v>56</v>
      </c>
      <c r="B41" s="196">
        <v>1202</v>
      </c>
      <c r="C41" s="9" t="s">
        <v>26</v>
      </c>
      <c r="D41" s="9" t="s">
        <v>26</v>
      </c>
      <c r="E41" s="87" t="s">
        <v>26</v>
      </c>
      <c r="F41" s="9" t="s">
        <v>26</v>
      </c>
      <c r="G41" s="9"/>
      <c r="H41" s="9"/>
    </row>
    <row r="42" spans="1:12" s="150" customFormat="1" ht="33" customHeight="1">
      <c r="A42" s="5" t="s">
        <v>124</v>
      </c>
      <c r="B42" s="6">
        <v>1210</v>
      </c>
      <c r="C42" s="7">
        <f t="shared" ref="C42" si="16">SUM(C8,C22,C32,C34,C38)</f>
        <v>16306.4</v>
      </c>
      <c r="D42" s="7">
        <f t="shared" ref="D42:F42" si="17">SUM(D8,D22,D32,D34,D38)</f>
        <v>15274.4</v>
      </c>
      <c r="E42" s="38">
        <f>SUM(E8,E22,E32,E34,E38)</f>
        <v>14376.9</v>
      </c>
      <c r="F42" s="7">
        <f t="shared" si="17"/>
        <v>15274.4</v>
      </c>
      <c r="G42" s="7">
        <f t="shared" si="3"/>
        <v>897.5</v>
      </c>
      <c r="H42" s="7">
        <f t="shared" si="4"/>
        <v>106.24265314497563</v>
      </c>
    </row>
    <row r="43" spans="1:12" s="150" customFormat="1" ht="33" customHeight="1">
      <c r="A43" s="5" t="s">
        <v>125</v>
      </c>
      <c r="B43" s="6">
        <v>1220</v>
      </c>
      <c r="C43" s="7">
        <f t="shared" ref="C43" si="18">SUM(C9,C16,C25,C33,C35,C37)</f>
        <v>-16270.8</v>
      </c>
      <c r="D43" s="7">
        <f t="shared" ref="D43:F43" si="19">SUM(D9,D16,D25,D33,D35,D37)</f>
        <v>-14473.3</v>
      </c>
      <c r="E43" s="38">
        <f>SUM(E9,E16,E25,E33,E35,E37)</f>
        <v>-14341.699999999997</v>
      </c>
      <c r="F43" s="7">
        <f t="shared" si="19"/>
        <v>-14473.3</v>
      </c>
      <c r="G43" s="7">
        <f t="shared" si="3"/>
        <v>-131.60000000000218</v>
      </c>
      <c r="H43" s="7">
        <f t="shared" si="4"/>
        <v>100.91760391027564</v>
      </c>
    </row>
    <row r="44" spans="1:12" s="151" customFormat="1" ht="30.75" customHeight="1">
      <c r="A44" s="18" t="s">
        <v>19</v>
      </c>
      <c r="B44" s="14"/>
      <c r="C44" s="7"/>
      <c r="D44" s="7"/>
      <c r="E44" s="184"/>
      <c r="F44" s="7"/>
      <c r="G44" s="139"/>
      <c r="H44" s="139"/>
      <c r="L44" s="152"/>
    </row>
    <row r="45" spans="1:12" s="151" customFormat="1" ht="30.75" customHeight="1">
      <c r="A45" s="1" t="s">
        <v>64</v>
      </c>
      <c r="B45" s="197">
        <v>9000</v>
      </c>
      <c r="C45" s="9">
        <f>-(C10+C17+C26)</f>
        <v>3816.6</v>
      </c>
      <c r="D45" s="9">
        <f t="shared" ref="D45:F45" si="20">-(D10+D17+D26)</f>
        <v>3294.6</v>
      </c>
      <c r="E45" s="87">
        <f t="shared" si="20"/>
        <v>3186.2</v>
      </c>
      <c r="F45" s="9">
        <f t="shared" si="20"/>
        <v>3294.6</v>
      </c>
      <c r="G45" s="17">
        <f t="shared" ref="G45:G50" si="21">F45-E45</f>
        <v>108.40000000000009</v>
      </c>
      <c r="H45" s="17">
        <f t="shared" ref="H45:H50" si="22">(F45/E45)*100</f>
        <v>103.40217186617286</v>
      </c>
      <c r="J45" s="152"/>
    </row>
    <row r="46" spans="1:12" s="151" customFormat="1" ht="30.75" customHeight="1">
      <c r="A46" s="1" t="s">
        <v>2</v>
      </c>
      <c r="B46" s="197">
        <v>9010</v>
      </c>
      <c r="C46" s="9">
        <f t="shared" ref="C46:F49" si="23">-(C11+C18+C27)</f>
        <v>9607.4</v>
      </c>
      <c r="D46" s="9">
        <f t="shared" si="23"/>
        <v>8290.2000000000007</v>
      </c>
      <c r="E46" s="87">
        <f t="shared" si="23"/>
        <v>8330.2999999999993</v>
      </c>
      <c r="F46" s="9">
        <f t="shared" si="23"/>
        <v>8290.2000000000007</v>
      </c>
      <c r="G46" s="17">
        <f t="shared" si="21"/>
        <v>-40.099999999998545</v>
      </c>
      <c r="H46" s="17">
        <f t="shared" si="22"/>
        <v>99.518624779419724</v>
      </c>
      <c r="J46" s="152"/>
    </row>
    <row r="47" spans="1:12" s="151" customFormat="1" ht="30.75" customHeight="1">
      <c r="A47" s="1" t="s">
        <v>3</v>
      </c>
      <c r="B47" s="197">
        <v>9020</v>
      </c>
      <c r="C47" s="9">
        <f t="shared" si="23"/>
        <v>1990.9</v>
      </c>
      <c r="D47" s="9">
        <f t="shared" si="23"/>
        <v>1766.4</v>
      </c>
      <c r="E47" s="87">
        <f t="shared" si="23"/>
        <v>1742.1</v>
      </c>
      <c r="F47" s="9">
        <f t="shared" si="23"/>
        <v>1766.4</v>
      </c>
      <c r="G47" s="17">
        <f t="shared" si="21"/>
        <v>24.300000000000182</v>
      </c>
      <c r="H47" s="17">
        <f t="shared" si="22"/>
        <v>101.39486826244189</v>
      </c>
      <c r="J47" s="152"/>
    </row>
    <row r="48" spans="1:12" s="151" customFormat="1" ht="30.75" customHeight="1">
      <c r="A48" s="1" t="s">
        <v>4</v>
      </c>
      <c r="B48" s="197">
        <v>9030</v>
      </c>
      <c r="C48" s="9">
        <f>-(C13+C29)</f>
        <v>488.1</v>
      </c>
      <c r="D48" s="9">
        <f t="shared" ref="D48:F48" si="24">-(D13+D29)</f>
        <v>511.70000000000005</v>
      </c>
      <c r="E48" s="87">
        <f t="shared" si="24"/>
        <v>490.40000000000003</v>
      </c>
      <c r="F48" s="9">
        <f t="shared" si="24"/>
        <v>511.70000000000005</v>
      </c>
      <c r="G48" s="17">
        <f t="shared" si="21"/>
        <v>21.300000000000011</v>
      </c>
      <c r="H48" s="17">
        <f t="shared" si="22"/>
        <v>104.34339314845025</v>
      </c>
      <c r="J48" s="152"/>
    </row>
    <row r="49" spans="1:11" s="151" customFormat="1" ht="30.75" customHeight="1">
      <c r="A49" s="1" t="s">
        <v>6</v>
      </c>
      <c r="B49" s="197">
        <v>9040</v>
      </c>
      <c r="C49" s="9">
        <f t="shared" si="23"/>
        <v>367.8</v>
      </c>
      <c r="D49" s="9">
        <f t="shared" si="23"/>
        <v>610.40000000000009</v>
      </c>
      <c r="E49" s="87">
        <f t="shared" si="23"/>
        <v>592.70000000000005</v>
      </c>
      <c r="F49" s="9">
        <f t="shared" si="23"/>
        <v>610.40000000000009</v>
      </c>
      <c r="G49" s="17">
        <f t="shared" si="21"/>
        <v>17.700000000000045</v>
      </c>
      <c r="H49" s="17">
        <f t="shared" si="22"/>
        <v>102.98633372701198</v>
      </c>
      <c r="J49" s="152"/>
    </row>
    <row r="50" spans="1:11" s="151" customFormat="1" ht="30.75" customHeight="1">
      <c r="A50" s="18" t="s">
        <v>9</v>
      </c>
      <c r="B50" s="14">
        <v>9050</v>
      </c>
      <c r="C50" s="7">
        <f t="shared" ref="C50" si="25">SUM(C45:C49)</f>
        <v>16270.8</v>
      </c>
      <c r="D50" s="7">
        <f t="shared" ref="D50:F50" si="26">SUM(D45:D49)</f>
        <v>14473.300000000001</v>
      </c>
      <c r="E50" s="38">
        <f t="shared" ref="E50" si="27">SUM(E45:E49)</f>
        <v>14341.7</v>
      </c>
      <c r="F50" s="7">
        <f t="shared" si="26"/>
        <v>14473.300000000001</v>
      </c>
      <c r="G50" s="16">
        <f t="shared" si="21"/>
        <v>131.60000000000036</v>
      </c>
      <c r="H50" s="16">
        <f t="shared" si="22"/>
        <v>100.91760391027562</v>
      </c>
    </row>
    <row r="51" spans="1:11" s="150" customFormat="1" ht="24.95" customHeight="1">
      <c r="A51" s="212" t="s">
        <v>107</v>
      </c>
      <c r="B51" s="212"/>
      <c r="C51" s="212"/>
      <c r="D51" s="212"/>
      <c r="E51" s="212"/>
      <c r="F51" s="212"/>
      <c r="G51" s="212"/>
      <c r="H51" s="212"/>
    </row>
    <row r="52" spans="1:11" s="150" customFormat="1" ht="69" customHeight="1">
      <c r="A52" s="11" t="s">
        <v>137</v>
      </c>
      <c r="B52" s="6">
        <v>2110</v>
      </c>
      <c r="C52" s="7">
        <f>SUM(C53:C56)</f>
        <v>-147.59999999999997</v>
      </c>
      <c r="D52" s="7">
        <f>SUM(D53:D56)</f>
        <v>-418.40000000000003</v>
      </c>
      <c r="E52" s="38">
        <f t="shared" ref="E52" si="28">SUM(E53:E56)</f>
        <v>-419.2</v>
      </c>
      <c r="F52" s="7">
        <f>SUM(F53:F56)</f>
        <v>-418.40000000000003</v>
      </c>
      <c r="G52" s="7">
        <f>F52-E52</f>
        <v>0.79999999999995453</v>
      </c>
      <c r="H52" s="7">
        <f>(F52/E52)*100</f>
        <v>99.809160305343525</v>
      </c>
    </row>
    <row r="53" spans="1:11" s="150" customFormat="1" ht="44.25" customHeight="1">
      <c r="A53" s="1" t="s">
        <v>61</v>
      </c>
      <c r="B53" s="196">
        <v>2111</v>
      </c>
      <c r="C53" s="9">
        <v>-261.2</v>
      </c>
      <c r="D53" s="9">
        <v>-360.1</v>
      </c>
      <c r="E53" s="87">
        <v>-121.2</v>
      </c>
      <c r="F53" s="9">
        <v>-360.1</v>
      </c>
      <c r="G53" s="9">
        <f t="shared" ref="G53:G55" si="29">F53-E53</f>
        <v>-238.90000000000003</v>
      </c>
      <c r="H53" s="9">
        <f>(F53/E53)*100</f>
        <v>297.1122112211221</v>
      </c>
    </row>
    <row r="54" spans="1:11" s="150" customFormat="1" ht="45.75" customHeight="1">
      <c r="A54" s="12" t="s">
        <v>62</v>
      </c>
      <c r="B54" s="196">
        <v>2112</v>
      </c>
      <c r="C54" s="9">
        <v>257.60000000000002</v>
      </c>
      <c r="D54" s="9">
        <v>356.2</v>
      </c>
      <c r="E54" s="87">
        <v>118.5</v>
      </c>
      <c r="F54" s="9">
        <v>356.2</v>
      </c>
      <c r="G54" s="9">
        <f t="shared" si="29"/>
        <v>237.7</v>
      </c>
      <c r="H54" s="9">
        <f t="shared" ref="H54:H68" si="30">(F54/E54)*100</f>
        <v>300.59071729957805</v>
      </c>
      <c r="K54" s="165"/>
    </row>
    <row r="55" spans="1:11" s="150" customFormat="1" ht="28.5" customHeight="1">
      <c r="A55" s="1" t="s">
        <v>68</v>
      </c>
      <c r="B55" s="196">
        <v>2113</v>
      </c>
      <c r="C55" s="9">
        <v>-144</v>
      </c>
      <c r="D55" s="9">
        <v>-414.5</v>
      </c>
      <c r="E55" s="87">
        <v>-416.5</v>
      </c>
      <c r="F55" s="9">
        <v>-414.5</v>
      </c>
      <c r="G55" s="9">
        <f t="shared" si="29"/>
        <v>2</v>
      </c>
      <c r="H55" s="9">
        <f t="shared" si="30"/>
        <v>99.519807923169267</v>
      </c>
    </row>
    <row r="56" spans="1:11" s="150" customFormat="1" ht="33" customHeight="1">
      <c r="A56" s="1" t="s">
        <v>49</v>
      </c>
      <c r="B56" s="196">
        <v>2114</v>
      </c>
      <c r="C56" s="9" t="s">
        <v>26</v>
      </c>
      <c r="D56" s="9" t="s">
        <v>26</v>
      </c>
      <c r="E56" s="87" t="s">
        <v>26</v>
      </c>
      <c r="F56" s="9" t="s">
        <v>26</v>
      </c>
      <c r="G56" s="9"/>
      <c r="H56" s="9"/>
    </row>
    <row r="57" spans="1:11" s="150" customFormat="1" ht="43.5" customHeight="1">
      <c r="A57" s="13" t="s">
        <v>66</v>
      </c>
      <c r="B57" s="14">
        <v>2120</v>
      </c>
      <c r="C57" s="7">
        <f>SUM(C58:C63)</f>
        <v>-1754.1</v>
      </c>
      <c r="D57" s="7">
        <f>SUM(D58:D63)</f>
        <v>-1520.9</v>
      </c>
      <c r="E57" s="38">
        <f>SUM(E58:E63)</f>
        <v>-1539.5</v>
      </c>
      <c r="F57" s="7">
        <f>SUM(F58:F63)</f>
        <v>-1520.9</v>
      </c>
      <c r="G57" s="7">
        <f>F57-E57</f>
        <v>18.599999999999909</v>
      </c>
      <c r="H57" s="7">
        <f t="shared" si="30"/>
        <v>98.791815524520956</v>
      </c>
    </row>
    <row r="58" spans="1:11" s="150" customFormat="1" ht="36" customHeight="1">
      <c r="A58" s="12" t="s">
        <v>46</v>
      </c>
      <c r="B58" s="197">
        <v>2121</v>
      </c>
      <c r="C58" s="9" t="s">
        <v>26</v>
      </c>
      <c r="D58" s="9" t="s">
        <v>26</v>
      </c>
      <c r="E58" s="87" t="s">
        <v>26</v>
      </c>
      <c r="F58" s="9" t="s">
        <v>26</v>
      </c>
      <c r="G58" s="9"/>
      <c r="H58" s="9"/>
    </row>
    <row r="59" spans="1:11" s="150" customFormat="1" ht="33.75" customHeight="1">
      <c r="A59" s="1" t="s">
        <v>14</v>
      </c>
      <c r="B59" s="197">
        <v>2122</v>
      </c>
      <c r="C59" s="9">
        <v>-1729</v>
      </c>
      <c r="D59" s="9">
        <v>-1492.2</v>
      </c>
      <c r="E59" s="87">
        <v>-1499.5</v>
      </c>
      <c r="F59" s="9">
        <v>-1492.2</v>
      </c>
      <c r="G59" s="9">
        <f>F59-E59</f>
        <v>7.2999999999999545</v>
      </c>
      <c r="H59" s="9">
        <f t="shared" si="30"/>
        <v>99.513171057019008</v>
      </c>
    </row>
    <row r="60" spans="1:11" s="150" customFormat="1" ht="31.5" customHeight="1">
      <c r="A60" s="1" t="s">
        <v>52</v>
      </c>
      <c r="B60" s="197">
        <v>2123</v>
      </c>
      <c r="C60" s="9">
        <v>-25.1</v>
      </c>
      <c r="D60" s="9">
        <v>-28.7</v>
      </c>
      <c r="E60" s="87">
        <v>-40</v>
      </c>
      <c r="F60" s="9">
        <v>-28.7</v>
      </c>
      <c r="G60" s="9"/>
      <c r="H60" s="9"/>
    </row>
    <row r="61" spans="1:11" s="150" customFormat="1" ht="31.5" customHeight="1">
      <c r="A61" s="1" t="s">
        <v>53</v>
      </c>
      <c r="B61" s="197">
        <v>2124</v>
      </c>
      <c r="C61" s="9" t="s">
        <v>26</v>
      </c>
      <c r="D61" s="9" t="s">
        <v>26</v>
      </c>
      <c r="E61" s="87" t="s">
        <v>26</v>
      </c>
      <c r="F61" s="9" t="s">
        <v>26</v>
      </c>
      <c r="G61" s="9"/>
      <c r="H61" s="9"/>
    </row>
    <row r="62" spans="1:11" s="150" customFormat="1" ht="96.75" customHeight="1">
      <c r="A62" s="1" t="s">
        <v>126</v>
      </c>
      <c r="B62" s="197">
        <v>2125</v>
      </c>
      <c r="C62" s="9" t="s">
        <v>26</v>
      </c>
      <c r="D62" s="9" t="s">
        <v>26</v>
      </c>
      <c r="E62" s="87" t="s">
        <v>26</v>
      </c>
      <c r="F62" s="9" t="s">
        <v>26</v>
      </c>
      <c r="G62" s="9"/>
      <c r="H62" s="9"/>
    </row>
    <row r="63" spans="1:11" s="150" customFormat="1" ht="31.5" customHeight="1">
      <c r="A63" s="1" t="s">
        <v>49</v>
      </c>
      <c r="B63" s="197">
        <v>2126</v>
      </c>
      <c r="C63" s="9" t="s">
        <v>26</v>
      </c>
      <c r="D63" s="9" t="s">
        <v>26</v>
      </c>
      <c r="E63" s="87" t="s">
        <v>26</v>
      </c>
      <c r="F63" s="9" t="s">
        <v>26</v>
      </c>
      <c r="G63" s="9"/>
      <c r="H63" s="9"/>
    </row>
    <row r="64" spans="1:11" s="150" customFormat="1" ht="48" customHeight="1">
      <c r="A64" s="11" t="s">
        <v>67</v>
      </c>
      <c r="B64" s="14">
        <v>2130</v>
      </c>
      <c r="C64" s="7">
        <f t="shared" ref="C64:D64" si="31">SUM(C65:C67)</f>
        <v>-2073.7000000000003</v>
      </c>
      <c r="D64" s="7">
        <f t="shared" si="31"/>
        <v>-1835.7</v>
      </c>
      <c r="E64" s="38">
        <f t="shared" ref="E64:F64" si="32">SUM(E65:E67)</f>
        <v>-1813.1</v>
      </c>
      <c r="F64" s="7">
        <f t="shared" si="32"/>
        <v>-1835.7</v>
      </c>
      <c r="G64" s="7">
        <f>F64-E64</f>
        <v>-22.600000000000136</v>
      </c>
      <c r="H64" s="7">
        <f t="shared" si="30"/>
        <v>101.24648392256357</v>
      </c>
    </row>
    <row r="65" spans="1:8" s="150" customFormat="1" ht="33" customHeight="1">
      <c r="A65" s="1" t="s">
        <v>50</v>
      </c>
      <c r="B65" s="197">
        <v>2131</v>
      </c>
      <c r="C65" s="9" t="s">
        <v>26</v>
      </c>
      <c r="D65" s="9" t="s">
        <v>26</v>
      </c>
      <c r="E65" s="87" t="s">
        <v>26</v>
      </c>
      <c r="F65" s="9" t="s">
        <v>26</v>
      </c>
      <c r="G65" s="9"/>
      <c r="H65" s="9"/>
    </row>
    <row r="66" spans="1:8" s="150" customFormat="1" ht="44.25" customHeight="1">
      <c r="A66" s="1" t="s">
        <v>51</v>
      </c>
      <c r="B66" s="197">
        <v>2132</v>
      </c>
      <c r="C66" s="9">
        <f>-C47</f>
        <v>-1990.9</v>
      </c>
      <c r="D66" s="9">
        <f t="shared" ref="D66:F66" si="33">-D47</f>
        <v>-1766.4</v>
      </c>
      <c r="E66" s="87">
        <f t="shared" si="33"/>
        <v>-1742.1</v>
      </c>
      <c r="F66" s="9">
        <f t="shared" si="33"/>
        <v>-1766.4</v>
      </c>
      <c r="G66" s="9">
        <f>F66-E66</f>
        <v>-24.300000000000182</v>
      </c>
      <c r="H66" s="9">
        <f t="shared" si="30"/>
        <v>101.39486826244189</v>
      </c>
    </row>
    <row r="67" spans="1:8" s="150" customFormat="1" ht="39.75" customHeight="1">
      <c r="A67" s="1" t="s">
        <v>244</v>
      </c>
      <c r="B67" s="197">
        <v>2133</v>
      </c>
      <c r="C67" s="9">
        <v>-82.8</v>
      </c>
      <c r="D67" s="9">
        <v>-69.3</v>
      </c>
      <c r="E67" s="87">
        <v>-71</v>
      </c>
      <c r="F67" s="9">
        <v>-69.3</v>
      </c>
      <c r="G67" s="9">
        <f t="shared" ref="G67:G68" si="34">F67-E67</f>
        <v>1.7000000000000028</v>
      </c>
      <c r="H67" s="9">
        <f t="shared" si="30"/>
        <v>97.605633802816897</v>
      </c>
    </row>
    <row r="68" spans="1:8" s="150" customFormat="1" ht="30.75" customHeight="1">
      <c r="A68" s="13" t="s">
        <v>63</v>
      </c>
      <c r="B68" s="14">
        <v>2200</v>
      </c>
      <c r="C68" s="38">
        <f>SUM(C52+C57+C64)</f>
        <v>-3975.4</v>
      </c>
      <c r="D68" s="38">
        <f>SUM(D52+D57+D64)</f>
        <v>-3775</v>
      </c>
      <c r="E68" s="38">
        <f>SUM(E52+E57+E64)</f>
        <v>-3771.8</v>
      </c>
      <c r="F68" s="38">
        <f>SUM(F52+F57+F64)</f>
        <v>-3775</v>
      </c>
      <c r="G68" s="7">
        <f t="shared" si="34"/>
        <v>-3.1999999999998181</v>
      </c>
      <c r="H68" s="7">
        <f t="shared" si="30"/>
        <v>100.08484012938119</v>
      </c>
    </row>
    <row r="69" spans="1:8" s="150" customFormat="1" ht="24.95" customHeight="1">
      <c r="A69" s="213" t="s">
        <v>108</v>
      </c>
      <c r="B69" s="214"/>
      <c r="C69" s="214"/>
      <c r="D69" s="214"/>
      <c r="E69" s="214"/>
      <c r="F69" s="214"/>
      <c r="G69" s="214"/>
      <c r="H69" s="214"/>
    </row>
    <row r="70" spans="1:8" s="150" customFormat="1" ht="27.75" customHeight="1">
      <c r="A70" s="142" t="s">
        <v>18</v>
      </c>
      <c r="B70" s="6">
        <v>4000</v>
      </c>
      <c r="C70" s="7">
        <f>SUM(C71:C77)</f>
        <v>-158.9</v>
      </c>
      <c r="D70" s="7">
        <f>SUM(D71:D77)</f>
        <v>-247.10000000000002</v>
      </c>
      <c r="E70" s="38">
        <f t="shared" ref="E70" si="35">SUM(E71:E77)</f>
        <v>0</v>
      </c>
      <c r="F70" s="7">
        <f>SUM(F71:F77)</f>
        <v>-247.1</v>
      </c>
      <c r="G70" s="7">
        <f>F70-E70</f>
        <v>-247.1</v>
      </c>
      <c r="H70" s="7" t="e">
        <f>(F70/E70)*100</f>
        <v>#DIV/0!</v>
      </c>
    </row>
    <row r="71" spans="1:8" s="150" customFormat="1" ht="37.5" customHeight="1">
      <c r="A71" s="143" t="s">
        <v>69</v>
      </c>
      <c r="B71" s="196">
        <v>4010</v>
      </c>
      <c r="C71" s="9" t="s">
        <v>26</v>
      </c>
      <c r="D71" s="9" t="s">
        <v>26</v>
      </c>
      <c r="E71" s="87" t="s">
        <v>26</v>
      </c>
      <c r="F71" s="9" t="s">
        <v>26</v>
      </c>
      <c r="G71" s="9"/>
      <c r="H71" s="9"/>
    </row>
    <row r="72" spans="1:8" s="150" customFormat="1" ht="48.75" customHeight="1">
      <c r="A72" s="144" t="s">
        <v>134</v>
      </c>
      <c r="B72" s="196">
        <v>4020</v>
      </c>
      <c r="C72" s="9">
        <f>-'Розшифровка кап'!C6</f>
        <v>-158.9</v>
      </c>
      <c r="D72" s="9">
        <f>-'Розшифровка кап'!E6</f>
        <v>-230.60000000000002</v>
      </c>
      <c r="E72" s="87" t="s">
        <v>26</v>
      </c>
      <c r="F72" s="9">
        <v>-230.6</v>
      </c>
      <c r="G72" s="9">
        <v>-230.6</v>
      </c>
      <c r="H72" s="9" t="s">
        <v>288</v>
      </c>
    </row>
    <row r="73" spans="1:8" s="150" customFormat="1" ht="48.75" customHeight="1">
      <c r="A73" s="144" t="s">
        <v>77</v>
      </c>
      <c r="B73" s="196">
        <v>4030</v>
      </c>
      <c r="C73" s="9" t="s">
        <v>26</v>
      </c>
      <c r="D73" s="9">
        <f>-'Розшифровка кап'!E11</f>
        <v>-16.5</v>
      </c>
      <c r="E73" s="87" t="s">
        <v>26</v>
      </c>
      <c r="F73" s="9">
        <v>-16.5</v>
      </c>
      <c r="G73" s="9">
        <v>-383.5</v>
      </c>
      <c r="H73" s="9" t="e">
        <f t="shared" ref="H73:H74" si="36">(F73/E73)*100</f>
        <v>#VALUE!</v>
      </c>
    </row>
    <row r="74" spans="1:8" s="150" customFormat="1" ht="49.5" customHeight="1">
      <c r="A74" s="144" t="s">
        <v>135</v>
      </c>
      <c r="B74" s="196">
        <v>4040</v>
      </c>
      <c r="C74" s="9" t="s">
        <v>26</v>
      </c>
      <c r="D74" s="9" t="s">
        <v>26</v>
      </c>
      <c r="E74" s="87" t="s">
        <v>26</v>
      </c>
      <c r="F74" s="9" t="s">
        <v>26</v>
      </c>
      <c r="G74" s="115" t="e">
        <f t="shared" ref="G74:G76" si="37">F74-E74</f>
        <v>#VALUE!</v>
      </c>
      <c r="H74" s="115" t="e">
        <f t="shared" si="36"/>
        <v>#VALUE!</v>
      </c>
    </row>
    <row r="75" spans="1:8" s="150" customFormat="1" ht="73.5" customHeight="1">
      <c r="A75" s="1" t="s">
        <v>70</v>
      </c>
      <c r="B75" s="196">
        <v>4050</v>
      </c>
      <c r="C75" s="9" t="s">
        <v>26</v>
      </c>
      <c r="D75" s="9" t="s">
        <v>26</v>
      </c>
      <c r="E75" s="87" t="s">
        <v>26</v>
      </c>
      <c r="F75" s="9" t="s">
        <v>26</v>
      </c>
      <c r="G75" s="9"/>
      <c r="H75" s="9"/>
    </row>
    <row r="76" spans="1:8" s="150" customFormat="1" ht="36.75" customHeight="1">
      <c r="A76" s="1" t="s">
        <v>71</v>
      </c>
      <c r="B76" s="196">
        <v>4060</v>
      </c>
      <c r="C76" s="9">
        <v>0</v>
      </c>
      <c r="D76" s="9">
        <v>0</v>
      </c>
      <c r="E76" s="87" t="s">
        <v>26</v>
      </c>
      <c r="F76" s="9">
        <v>0</v>
      </c>
      <c r="G76" s="115" t="e">
        <f t="shared" si="37"/>
        <v>#VALUE!</v>
      </c>
      <c r="H76" s="9"/>
    </row>
    <row r="77" spans="1:8" s="150" customFormat="1" ht="39.75" customHeight="1">
      <c r="A77" s="1" t="s">
        <v>58</v>
      </c>
      <c r="B77" s="196">
        <v>4070</v>
      </c>
      <c r="C77" s="9" t="s">
        <v>26</v>
      </c>
      <c r="D77" s="9" t="s">
        <v>26</v>
      </c>
      <c r="E77" s="87" t="s">
        <v>26</v>
      </c>
      <c r="F77" s="9" t="s">
        <v>26</v>
      </c>
      <c r="G77" s="9"/>
      <c r="H77" s="9"/>
    </row>
    <row r="78" spans="1:8" s="198" customFormat="1" ht="29.25" customHeight="1">
      <c r="A78" s="212" t="s">
        <v>109</v>
      </c>
      <c r="B78" s="212"/>
      <c r="C78" s="212"/>
      <c r="D78" s="212"/>
      <c r="E78" s="212"/>
      <c r="F78" s="212"/>
      <c r="G78" s="212"/>
      <c r="H78" s="212"/>
    </row>
    <row r="79" spans="1:8" s="150" customFormat="1" ht="48.75" customHeight="1">
      <c r="A79" s="5" t="s">
        <v>47</v>
      </c>
      <c r="B79" s="6" t="s">
        <v>30</v>
      </c>
      <c r="C79" s="7">
        <f>SUM(C80:C82)</f>
        <v>0</v>
      </c>
      <c r="D79" s="7">
        <f t="shared" ref="D79:F79" si="38">SUM(D80:D82)</f>
        <v>0</v>
      </c>
      <c r="E79" s="7">
        <f t="shared" si="38"/>
        <v>0</v>
      </c>
      <c r="F79" s="7">
        <f t="shared" si="38"/>
        <v>0</v>
      </c>
      <c r="G79" s="7">
        <f>F79-E79</f>
        <v>0</v>
      </c>
      <c r="H79" s="7"/>
    </row>
    <row r="80" spans="1:8" s="150" customFormat="1" ht="36.75" customHeight="1">
      <c r="A80" s="10" t="s">
        <v>78</v>
      </c>
      <c r="B80" s="196" t="s">
        <v>31</v>
      </c>
      <c r="C80" s="9"/>
      <c r="D80" s="9"/>
      <c r="E80" s="9"/>
      <c r="F80" s="9"/>
      <c r="G80" s="9">
        <f t="shared" ref="G80:G86" si="39">F80-E80</f>
        <v>0</v>
      </c>
      <c r="H80" s="9"/>
    </row>
    <row r="81" spans="1:8" s="150" customFormat="1" ht="34.5" customHeight="1">
      <c r="A81" s="10" t="s">
        <v>79</v>
      </c>
      <c r="B81" s="196" t="s">
        <v>32</v>
      </c>
      <c r="C81" s="9"/>
      <c r="D81" s="9"/>
      <c r="E81" s="9"/>
      <c r="F81" s="9"/>
      <c r="G81" s="9">
        <f t="shared" si="39"/>
        <v>0</v>
      </c>
      <c r="H81" s="9"/>
    </row>
    <row r="82" spans="1:8" s="150" customFormat="1" ht="35.25" customHeight="1">
      <c r="A82" s="10" t="s">
        <v>80</v>
      </c>
      <c r="B82" s="196" t="s">
        <v>33</v>
      </c>
      <c r="C82" s="9"/>
      <c r="D82" s="9"/>
      <c r="E82" s="9"/>
      <c r="F82" s="9"/>
      <c r="G82" s="9">
        <f t="shared" si="39"/>
        <v>0</v>
      </c>
      <c r="H82" s="9"/>
    </row>
    <row r="83" spans="1:8" s="150" customFormat="1" ht="46.5" customHeight="1">
      <c r="A83" s="5" t="s">
        <v>48</v>
      </c>
      <c r="B83" s="6" t="s">
        <v>34</v>
      </c>
      <c r="C83" s="7">
        <f>SUM(C84:C86)</f>
        <v>0</v>
      </c>
      <c r="D83" s="7">
        <f t="shared" ref="D83:F83" si="40">SUM(D84:D86)</f>
        <v>0</v>
      </c>
      <c r="E83" s="7">
        <f t="shared" si="40"/>
        <v>0</v>
      </c>
      <c r="F83" s="7">
        <f t="shared" si="40"/>
        <v>0</v>
      </c>
      <c r="G83" s="7">
        <f t="shared" si="39"/>
        <v>0</v>
      </c>
      <c r="H83" s="7"/>
    </row>
    <row r="84" spans="1:8" s="150" customFormat="1" ht="36.75" customHeight="1">
      <c r="A84" s="10" t="s">
        <v>78</v>
      </c>
      <c r="B84" s="196" t="s">
        <v>35</v>
      </c>
      <c r="C84" s="9"/>
      <c r="D84" s="9"/>
      <c r="E84" s="9"/>
      <c r="F84" s="9"/>
      <c r="G84" s="9">
        <f t="shared" si="39"/>
        <v>0</v>
      </c>
      <c r="H84" s="9"/>
    </row>
    <row r="85" spans="1:8" s="150" customFormat="1" ht="36.75" customHeight="1">
      <c r="A85" s="10" t="s">
        <v>79</v>
      </c>
      <c r="B85" s="196" t="s">
        <v>36</v>
      </c>
      <c r="C85" s="9"/>
      <c r="D85" s="9"/>
      <c r="E85" s="9"/>
      <c r="F85" s="9"/>
      <c r="G85" s="9">
        <f t="shared" si="39"/>
        <v>0</v>
      </c>
      <c r="H85" s="9"/>
    </row>
    <row r="86" spans="1:8" s="150" customFormat="1" ht="34.5" customHeight="1">
      <c r="A86" s="10" t="s">
        <v>80</v>
      </c>
      <c r="B86" s="196" t="s">
        <v>37</v>
      </c>
      <c r="C86" s="9"/>
      <c r="D86" s="9"/>
      <c r="E86" s="9"/>
      <c r="F86" s="9"/>
      <c r="G86" s="9">
        <f t="shared" si="39"/>
        <v>0</v>
      </c>
      <c r="H86" s="9"/>
    </row>
    <row r="87" spans="1:8" s="150" customFormat="1" ht="34.5" customHeight="1">
      <c r="A87" s="212" t="s">
        <v>110</v>
      </c>
      <c r="B87" s="212"/>
      <c r="C87" s="212"/>
      <c r="D87" s="212"/>
      <c r="E87" s="212"/>
      <c r="F87" s="212"/>
      <c r="G87" s="212"/>
      <c r="H87" s="212"/>
    </row>
    <row r="88" spans="1:8" s="118" customFormat="1" ht="86.25" customHeight="1">
      <c r="A88" s="13" t="s">
        <v>136</v>
      </c>
      <c r="B88" s="19" t="s">
        <v>38</v>
      </c>
      <c r="C88" s="145">
        <f t="shared" ref="C88" si="41">SUM(C89:C91)</f>
        <v>178</v>
      </c>
      <c r="D88" s="145">
        <f t="shared" ref="D88" si="42">SUM(D89:D91)</f>
        <v>159</v>
      </c>
      <c r="E88" s="145">
        <v>180</v>
      </c>
      <c r="F88" s="145">
        <f t="shared" ref="F88" si="43">SUM(F89:F91)</f>
        <v>159</v>
      </c>
      <c r="G88" s="16">
        <f>F88-E88</f>
        <v>-21</v>
      </c>
      <c r="H88" s="16">
        <f>(F88/E88)*100</f>
        <v>88.333333333333329</v>
      </c>
    </row>
    <row r="89" spans="1:8" s="150" customFormat="1" ht="27.75" customHeight="1">
      <c r="A89" s="10" t="s">
        <v>21</v>
      </c>
      <c r="B89" s="196" t="s">
        <v>39</v>
      </c>
      <c r="C89" s="146">
        <v>1</v>
      </c>
      <c r="D89" s="146">
        <v>1</v>
      </c>
      <c r="E89" s="147">
        <v>1</v>
      </c>
      <c r="F89" s="146">
        <v>1</v>
      </c>
      <c r="G89" s="17">
        <f t="shared" ref="G89:G103" si="44">F89-E89</f>
        <v>0</v>
      </c>
      <c r="H89" s="17">
        <f t="shared" ref="H89:H103" si="45">(F89/E89)*100</f>
        <v>100</v>
      </c>
    </row>
    <row r="90" spans="1:8" s="150" customFormat="1" ht="27.75" customHeight="1">
      <c r="A90" s="10" t="s">
        <v>24</v>
      </c>
      <c r="B90" s="196" t="s">
        <v>40</v>
      </c>
      <c r="C90" s="146">
        <v>6</v>
      </c>
      <c r="D90" s="146">
        <v>6</v>
      </c>
      <c r="E90" s="147">
        <v>6</v>
      </c>
      <c r="F90" s="146">
        <v>6</v>
      </c>
      <c r="G90" s="17">
        <f t="shared" si="44"/>
        <v>0</v>
      </c>
      <c r="H90" s="17">
        <f t="shared" si="45"/>
        <v>100</v>
      </c>
    </row>
    <row r="91" spans="1:8" s="150" customFormat="1" ht="27.75" customHeight="1">
      <c r="A91" s="10" t="s">
        <v>22</v>
      </c>
      <c r="B91" s="196" t="s">
        <v>41</v>
      </c>
      <c r="C91" s="146">
        <v>171</v>
      </c>
      <c r="D91" s="146">
        <v>152</v>
      </c>
      <c r="E91" s="147">
        <v>165</v>
      </c>
      <c r="F91" s="146">
        <v>152</v>
      </c>
      <c r="G91" s="17">
        <f t="shared" si="44"/>
        <v>-13</v>
      </c>
      <c r="H91" s="17">
        <f t="shared" si="45"/>
        <v>92.121212121212125</v>
      </c>
    </row>
    <row r="92" spans="1:8" s="150" customFormat="1" ht="27.75" customHeight="1">
      <c r="A92" s="5" t="s">
        <v>81</v>
      </c>
      <c r="B92" s="6" t="s">
        <v>42</v>
      </c>
      <c r="C92" s="7">
        <f>C46</f>
        <v>9607.4</v>
      </c>
      <c r="D92" s="7">
        <f>D46</f>
        <v>8290.2000000000007</v>
      </c>
      <c r="E92" s="7">
        <f t="shared" ref="E92" si="46">E46</f>
        <v>8330.2999999999993</v>
      </c>
      <c r="F92" s="7">
        <f>F46</f>
        <v>8290.2000000000007</v>
      </c>
      <c r="G92" s="16">
        <f t="shared" si="44"/>
        <v>-40.099999999998545</v>
      </c>
      <c r="H92" s="16">
        <f t="shared" si="45"/>
        <v>99.518624779419724</v>
      </c>
    </row>
    <row r="93" spans="1:8" s="150" customFormat="1" ht="27.75" customHeight="1">
      <c r="A93" s="10" t="s">
        <v>21</v>
      </c>
      <c r="B93" s="196">
        <v>8011</v>
      </c>
      <c r="C93" s="9">
        <v>195</v>
      </c>
      <c r="D93" s="9">
        <v>193.7</v>
      </c>
      <c r="E93" s="9">
        <v>193.1</v>
      </c>
      <c r="F93" s="9">
        <v>193.7</v>
      </c>
      <c r="G93" s="17">
        <f t="shared" si="44"/>
        <v>0.59999999999999432</v>
      </c>
      <c r="H93" s="17">
        <f t="shared" si="45"/>
        <v>100.31071983428275</v>
      </c>
    </row>
    <row r="94" spans="1:8" s="150" customFormat="1" ht="27.75" customHeight="1">
      <c r="A94" s="10" t="s">
        <v>24</v>
      </c>
      <c r="B94" s="196">
        <v>8012</v>
      </c>
      <c r="C94" s="9">
        <v>560.9</v>
      </c>
      <c r="D94" s="9">
        <v>479</v>
      </c>
      <c r="E94" s="9">
        <v>490.3</v>
      </c>
      <c r="F94" s="9">
        <v>479</v>
      </c>
      <c r="G94" s="17">
        <f t="shared" si="44"/>
        <v>-11.300000000000011</v>
      </c>
      <c r="H94" s="17">
        <f t="shared" si="45"/>
        <v>97.695288598817058</v>
      </c>
    </row>
    <row r="95" spans="1:8" s="150" customFormat="1" ht="27.75" customHeight="1">
      <c r="A95" s="10" t="s">
        <v>22</v>
      </c>
      <c r="B95" s="196">
        <v>8013</v>
      </c>
      <c r="C95" s="9">
        <v>8851.5</v>
      </c>
      <c r="D95" s="9">
        <v>7617.5</v>
      </c>
      <c r="E95" s="9">
        <v>7646.9</v>
      </c>
      <c r="F95" s="9">
        <v>7617.5</v>
      </c>
      <c r="G95" s="17">
        <f t="shared" si="44"/>
        <v>-29.399999999999636</v>
      </c>
      <c r="H95" s="17">
        <f t="shared" si="45"/>
        <v>99.615530476402199</v>
      </c>
    </row>
    <row r="96" spans="1:8" s="150" customFormat="1" ht="27.75" customHeight="1">
      <c r="A96" s="5" t="s">
        <v>2</v>
      </c>
      <c r="B96" s="6">
        <v>8020</v>
      </c>
      <c r="C96" s="7">
        <f t="shared" ref="C96:F96" si="47">SUM(C97:C99)</f>
        <v>9607.4</v>
      </c>
      <c r="D96" s="7">
        <f t="shared" si="47"/>
        <v>8290.2000000000007</v>
      </c>
      <c r="E96" s="7">
        <f t="shared" si="47"/>
        <v>8330.2999999999993</v>
      </c>
      <c r="F96" s="7">
        <f t="shared" si="47"/>
        <v>8290.2000000000007</v>
      </c>
      <c r="G96" s="16">
        <f t="shared" si="44"/>
        <v>-40.099999999998545</v>
      </c>
      <c r="H96" s="16">
        <f t="shared" si="45"/>
        <v>99.518624779419724</v>
      </c>
    </row>
    <row r="97" spans="1:8" s="150" customFormat="1" ht="27.75" customHeight="1">
      <c r="A97" s="10" t="s">
        <v>21</v>
      </c>
      <c r="B97" s="196">
        <v>8021</v>
      </c>
      <c r="C97" s="9">
        <v>195</v>
      </c>
      <c r="D97" s="9">
        <v>193.7</v>
      </c>
      <c r="E97" s="9">
        <v>193.1</v>
      </c>
      <c r="F97" s="9">
        <v>193.7</v>
      </c>
      <c r="G97" s="17">
        <f t="shared" si="44"/>
        <v>0.59999999999999432</v>
      </c>
      <c r="H97" s="17">
        <f t="shared" si="45"/>
        <v>100.31071983428275</v>
      </c>
    </row>
    <row r="98" spans="1:8" s="150" customFormat="1" ht="27.75" customHeight="1">
      <c r="A98" s="10" t="s">
        <v>24</v>
      </c>
      <c r="B98" s="196">
        <v>8022</v>
      </c>
      <c r="C98" s="9">
        <v>560.9</v>
      </c>
      <c r="D98" s="9">
        <v>479</v>
      </c>
      <c r="E98" s="9">
        <v>490.3</v>
      </c>
      <c r="F98" s="9">
        <v>479</v>
      </c>
      <c r="G98" s="17">
        <f t="shared" si="44"/>
        <v>-11.300000000000011</v>
      </c>
      <c r="H98" s="17">
        <f t="shared" si="45"/>
        <v>97.695288598817058</v>
      </c>
    </row>
    <row r="99" spans="1:8" s="150" customFormat="1" ht="27.75" customHeight="1">
      <c r="A99" s="10" t="s">
        <v>22</v>
      </c>
      <c r="B99" s="196">
        <v>8023</v>
      </c>
      <c r="C99" s="9">
        <v>8851.5</v>
      </c>
      <c r="D99" s="9">
        <v>7617.5</v>
      </c>
      <c r="E99" s="9">
        <v>7646.9</v>
      </c>
      <c r="F99" s="9">
        <v>7617.5</v>
      </c>
      <c r="G99" s="17">
        <f t="shared" si="44"/>
        <v>-29.399999999999636</v>
      </c>
      <c r="H99" s="17">
        <f t="shared" si="45"/>
        <v>99.615530476402199</v>
      </c>
    </row>
    <row r="100" spans="1:8" s="118" customFormat="1" ht="57" customHeight="1">
      <c r="A100" s="13" t="s">
        <v>57</v>
      </c>
      <c r="B100" s="19" t="s">
        <v>82</v>
      </c>
      <c r="C100" s="7">
        <f t="shared" ref="C100" si="48">(C96/C88)/3*1000</f>
        <v>17991.385767790263</v>
      </c>
      <c r="D100" s="7">
        <f>(D96/D88)/3*1000</f>
        <v>17379.87421383648</v>
      </c>
      <c r="E100" s="170">
        <v>18287.407407407412</v>
      </c>
      <c r="F100" s="7">
        <f>(F96/F88)/3*1000</f>
        <v>17379.87421383648</v>
      </c>
      <c r="G100" s="16">
        <f t="shared" si="44"/>
        <v>-907.53319357093278</v>
      </c>
      <c r="H100" s="16">
        <f>(F100/E100)*100</f>
        <v>95.037387348830364</v>
      </c>
    </row>
    <row r="101" spans="1:8" s="150" customFormat="1" ht="27.75" customHeight="1">
      <c r="A101" s="10" t="s">
        <v>21</v>
      </c>
      <c r="B101" s="196">
        <v>8031</v>
      </c>
      <c r="C101" s="9">
        <f>(C97/C89)/3*1000</f>
        <v>65000</v>
      </c>
      <c r="D101" s="9">
        <f t="shared" ref="D101:E101" si="49">(D97/D89)/3*1000</f>
        <v>64566.666666666664</v>
      </c>
      <c r="E101" s="139">
        <f t="shared" si="49"/>
        <v>64366.666666666657</v>
      </c>
      <c r="F101" s="9">
        <f t="shared" ref="F101:F103" si="50">(F97/F89)/3*1000</f>
        <v>64566.666666666664</v>
      </c>
      <c r="G101" s="17">
        <f t="shared" si="44"/>
        <v>200.00000000000728</v>
      </c>
      <c r="H101" s="17">
        <f t="shared" si="45"/>
        <v>100.31071983428276</v>
      </c>
    </row>
    <row r="102" spans="1:8" s="150" customFormat="1" ht="27.75" customHeight="1">
      <c r="A102" s="10" t="s">
        <v>24</v>
      </c>
      <c r="B102" s="196">
        <v>8032</v>
      </c>
      <c r="C102" s="9">
        <f>(C98/C90)/3*1000</f>
        <v>31161.111111111113</v>
      </c>
      <c r="D102" s="9">
        <f t="shared" ref="D102:E102" si="51">(D98/D90)/3*1000</f>
        <v>26611.111111111109</v>
      </c>
      <c r="E102" s="139">
        <f t="shared" si="51"/>
        <v>27238.888888888891</v>
      </c>
      <c r="F102" s="9">
        <f t="shared" si="50"/>
        <v>26611.111111111109</v>
      </c>
      <c r="G102" s="17">
        <f t="shared" si="44"/>
        <v>-627.77777777778101</v>
      </c>
      <c r="H102" s="17">
        <f t="shared" si="45"/>
        <v>97.695288598817044</v>
      </c>
    </row>
    <row r="103" spans="1:8" s="150" customFormat="1" ht="27.75" customHeight="1">
      <c r="A103" s="10" t="s">
        <v>22</v>
      </c>
      <c r="B103" s="196">
        <v>8033</v>
      </c>
      <c r="C103" s="9">
        <f t="shared" ref="C103:E103" si="52">(C99/C91)/3*1000</f>
        <v>17254.385964912282</v>
      </c>
      <c r="D103" s="9">
        <f t="shared" si="52"/>
        <v>16705.043859649122</v>
      </c>
      <c r="E103" s="139">
        <f t="shared" si="52"/>
        <v>15448.282828282829</v>
      </c>
      <c r="F103" s="9">
        <f t="shared" si="50"/>
        <v>16705.043859649122</v>
      </c>
      <c r="G103" s="17">
        <f t="shared" si="44"/>
        <v>1256.7610313662935</v>
      </c>
      <c r="H103" s="17">
        <f t="shared" si="45"/>
        <v>108.13527979346291</v>
      </c>
    </row>
    <row r="104" spans="1:8" s="118" customFormat="1">
      <c r="A104" s="148"/>
      <c r="C104" s="185"/>
      <c r="D104" s="120"/>
      <c r="E104" s="149"/>
      <c r="F104" s="149"/>
      <c r="G104" s="149"/>
      <c r="H104" s="149"/>
    </row>
    <row r="105" spans="1:8" s="118" customFormat="1">
      <c r="A105" s="148"/>
      <c r="C105" s="185"/>
      <c r="D105" s="120"/>
      <c r="E105" s="149"/>
      <c r="F105" s="149"/>
      <c r="G105" s="149"/>
      <c r="H105" s="149"/>
    </row>
    <row r="106" spans="1:8" s="118" customFormat="1" ht="28.5" customHeight="1">
      <c r="A106" s="199" t="s">
        <v>228</v>
      </c>
      <c r="B106" s="200"/>
      <c r="C106" s="210"/>
      <c r="D106" s="211"/>
      <c r="E106" s="166"/>
      <c r="F106" s="204" t="s">
        <v>263</v>
      </c>
      <c r="G106" s="204"/>
      <c r="H106" s="201"/>
    </row>
    <row r="107" spans="1:8" s="118" customFormat="1">
      <c r="A107" s="195" t="s">
        <v>10</v>
      </c>
      <c r="B107" s="201"/>
      <c r="C107" s="209" t="s">
        <v>11</v>
      </c>
      <c r="D107" s="209"/>
      <c r="E107" s="119"/>
      <c r="F107" s="205" t="s">
        <v>229</v>
      </c>
      <c r="G107" s="205"/>
      <c r="H107" s="202"/>
    </row>
    <row r="108" spans="1:8" s="4" customFormat="1">
      <c r="A108" s="20"/>
      <c r="C108" s="118"/>
      <c r="D108" s="118"/>
      <c r="E108" s="150"/>
      <c r="F108" s="140"/>
      <c r="G108" s="3"/>
      <c r="H108" s="3"/>
    </row>
    <row r="109" spans="1:8" s="4" customFormat="1">
      <c r="A109" s="20"/>
      <c r="C109" s="118"/>
      <c r="D109" s="118"/>
      <c r="E109" s="150"/>
      <c r="F109" s="140"/>
      <c r="G109" s="3"/>
      <c r="H109" s="3"/>
    </row>
    <row r="110" spans="1:8" s="4" customFormat="1">
      <c r="A110" s="20"/>
      <c r="C110" s="118"/>
      <c r="D110" s="118"/>
      <c r="E110" s="150"/>
      <c r="F110" s="140"/>
      <c r="G110" s="3"/>
      <c r="H110" s="3"/>
    </row>
    <row r="111" spans="1:8" s="4" customFormat="1">
      <c r="A111" s="20"/>
      <c r="C111" s="118"/>
      <c r="D111" s="118"/>
      <c r="E111" s="150"/>
      <c r="F111" s="140"/>
      <c r="G111" s="3"/>
      <c r="H111" s="3"/>
    </row>
    <row r="112" spans="1:8" s="4" customFormat="1">
      <c r="A112" s="20"/>
      <c r="C112" s="118"/>
      <c r="D112" s="118"/>
      <c r="E112" s="150"/>
      <c r="F112" s="140"/>
      <c r="G112" s="3"/>
      <c r="H112" s="3"/>
    </row>
    <row r="113" spans="1:8" s="4" customFormat="1">
      <c r="A113" s="20"/>
      <c r="C113" s="118"/>
      <c r="D113" s="118"/>
      <c r="E113" s="150"/>
      <c r="F113" s="140"/>
      <c r="G113" s="3"/>
      <c r="H113" s="3"/>
    </row>
    <row r="114" spans="1:8" s="4" customFormat="1">
      <c r="A114" s="20"/>
      <c r="C114" s="118"/>
      <c r="D114" s="118"/>
      <c r="E114" s="150"/>
      <c r="F114" s="140"/>
      <c r="G114" s="3"/>
      <c r="H114" s="3"/>
    </row>
    <row r="115" spans="1:8" s="4" customFormat="1">
      <c r="A115" s="20"/>
      <c r="C115" s="118"/>
      <c r="D115" s="118"/>
      <c r="E115" s="150"/>
      <c r="F115" s="140"/>
      <c r="G115" s="3"/>
      <c r="H115" s="3"/>
    </row>
    <row r="116" spans="1:8" s="4" customFormat="1">
      <c r="A116" s="20"/>
      <c r="C116" s="118"/>
      <c r="D116" s="118"/>
      <c r="E116" s="150"/>
      <c r="F116" s="140"/>
      <c r="G116" s="3"/>
      <c r="H116" s="3"/>
    </row>
    <row r="117" spans="1:8" s="4" customFormat="1">
      <c r="A117" s="20"/>
      <c r="C117" s="118"/>
      <c r="D117" s="118"/>
      <c r="E117" s="150"/>
      <c r="F117" s="140"/>
      <c r="G117" s="3"/>
      <c r="H117" s="3"/>
    </row>
    <row r="118" spans="1:8" s="4" customFormat="1">
      <c r="A118" s="20"/>
      <c r="C118" s="118"/>
      <c r="D118" s="118"/>
      <c r="E118" s="150"/>
      <c r="F118" s="140"/>
      <c r="G118" s="3"/>
      <c r="H118" s="3"/>
    </row>
    <row r="119" spans="1:8" s="4" customFormat="1">
      <c r="A119" s="20"/>
      <c r="C119" s="118"/>
      <c r="D119" s="118"/>
      <c r="E119" s="150"/>
      <c r="F119" s="140"/>
      <c r="G119" s="3"/>
      <c r="H119" s="3"/>
    </row>
    <row r="120" spans="1:8" s="4" customFormat="1">
      <c r="A120" s="20"/>
      <c r="C120" s="118"/>
      <c r="D120" s="118"/>
      <c r="E120" s="150"/>
      <c r="F120" s="140"/>
      <c r="G120" s="3"/>
      <c r="H120" s="3"/>
    </row>
    <row r="121" spans="1:8" s="4" customFormat="1">
      <c r="A121" s="20"/>
      <c r="C121" s="118"/>
      <c r="D121" s="118"/>
      <c r="E121" s="150"/>
      <c r="F121" s="140"/>
      <c r="G121" s="3"/>
      <c r="H121" s="3"/>
    </row>
    <row r="122" spans="1:8" s="4" customFormat="1">
      <c r="A122" s="20"/>
      <c r="C122" s="118"/>
      <c r="D122" s="118"/>
      <c r="E122" s="150"/>
      <c r="F122" s="140"/>
      <c r="G122" s="3"/>
      <c r="H122" s="3"/>
    </row>
    <row r="123" spans="1:8" s="4" customFormat="1">
      <c r="A123" s="20"/>
      <c r="C123" s="118"/>
      <c r="D123" s="118"/>
      <c r="E123" s="150"/>
      <c r="F123" s="140"/>
      <c r="G123" s="3"/>
      <c r="H123" s="3"/>
    </row>
    <row r="124" spans="1:8" s="4" customFormat="1">
      <c r="A124" s="20"/>
      <c r="C124" s="118"/>
      <c r="D124" s="118"/>
      <c r="E124" s="150"/>
      <c r="F124" s="140"/>
      <c r="G124" s="3"/>
      <c r="H124" s="3"/>
    </row>
    <row r="125" spans="1:8" s="4" customFormat="1">
      <c r="A125" s="20"/>
      <c r="C125" s="118"/>
      <c r="D125" s="118"/>
      <c r="E125" s="150"/>
      <c r="F125" s="140"/>
      <c r="G125" s="3"/>
      <c r="H125" s="3"/>
    </row>
    <row r="126" spans="1:8" s="4" customFormat="1">
      <c r="A126" s="20"/>
      <c r="C126" s="118"/>
      <c r="D126" s="118"/>
      <c r="E126" s="150"/>
      <c r="F126" s="140"/>
      <c r="G126" s="3"/>
      <c r="H126" s="3"/>
    </row>
    <row r="127" spans="1:8" s="4" customFormat="1">
      <c r="A127" s="20"/>
      <c r="C127" s="118"/>
      <c r="D127" s="118"/>
      <c r="E127" s="150"/>
      <c r="F127" s="140"/>
      <c r="G127" s="3"/>
      <c r="H127" s="3"/>
    </row>
    <row r="128" spans="1:8" s="4" customFormat="1">
      <c r="A128" s="20"/>
      <c r="C128" s="118"/>
      <c r="D128" s="118"/>
      <c r="E128" s="150"/>
      <c r="F128" s="140"/>
      <c r="G128" s="3"/>
      <c r="H128" s="3"/>
    </row>
    <row r="129" spans="1:12" s="4" customFormat="1">
      <c r="A129" s="20"/>
      <c r="C129" s="118"/>
      <c r="D129" s="118"/>
      <c r="E129" s="150"/>
      <c r="F129" s="140"/>
      <c r="G129" s="3"/>
      <c r="H129" s="3"/>
    </row>
    <row r="130" spans="1:12" s="4" customFormat="1">
      <c r="A130" s="20"/>
      <c r="C130" s="118"/>
      <c r="D130" s="118"/>
      <c r="E130" s="150"/>
      <c r="F130" s="140"/>
      <c r="G130" s="3"/>
      <c r="H130" s="3"/>
    </row>
    <row r="131" spans="1:12" s="4" customFormat="1">
      <c r="A131" s="20"/>
      <c r="C131" s="118"/>
      <c r="D131" s="118"/>
      <c r="E131" s="150"/>
      <c r="F131" s="140"/>
      <c r="G131" s="3"/>
      <c r="H131" s="3"/>
    </row>
    <row r="132" spans="1:12" s="4" customFormat="1">
      <c r="A132" s="20"/>
      <c r="C132" s="118"/>
      <c r="D132" s="118"/>
      <c r="E132" s="150"/>
      <c r="F132" s="140"/>
      <c r="G132" s="3"/>
      <c r="H132" s="3"/>
    </row>
    <row r="133" spans="1:12" s="4" customFormat="1">
      <c r="A133" s="20"/>
      <c r="C133" s="118"/>
      <c r="D133" s="118"/>
      <c r="E133" s="150"/>
      <c r="F133" s="140"/>
      <c r="G133" s="3"/>
      <c r="H133" s="3"/>
    </row>
    <row r="134" spans="1:12" s="4" customFormat="1">
      <c r="A134" s="20"/>
      <c r="C134" s="118"/>
      <c r="D134" s="118"/>
      <c r="E134" s="150"/>
      <c r="F134" s="140"/>
      <c r="G134" s="3"/>
      <c r="H134" s="3"/>
    </row>
    <row r="135" spans="1:12" s="4" customFormat="1">
      <c r="A135" s="20"/>
      <c r="C135" s="118"/>
      <c r="D135" s="118"/>
      <c r="E135" s="150"/>
      <c r="F135" s="140"/>
      <c r="G135" s="3"/>
      <c r="H135" s="3"/>
    </row>
    <row r="136" spans="1:12" s="4" customFormat="1">
      <c r="A136" s="20"/>
      <c r="C136" s="118"/>
      <c r="D136" s="118"/>
      <c r="E136" s="150"/>
      <c r="F136" s="140"/>
      <c r="G136" s="3"/>
      <c r="H136" s="3"/>
    </row>
    <row r="137" spans="1:12" s="4" customFormat="1">
      <c r="A137" s="20"/>
      <c r="C137" s="118"/>
      <c r="D137" s="118"/>
      <c r="E137" s="150"/>
      <c r="F137" s="140"/>
      <c r="G137" s="3"/>
      <c r="H137" s="3"/>
    </row>
    <row r="138" spans="1:12" s="4" customFormat="1">
      <c r="A138" s="20"/>
      <c r="C138" s="118"/>
      <c r="D138" s="118"/>
      <c r="E138" s="150"/>
      <c r="F138" s="140"/>
      <c r="G138" s="3"/>
      <c r="H138" s="3"/>
    </row>
    <row r="139" spans="1:12" s="4" customFormat="1">
      <c r="A139" s="20"/>
      <c r="C139" s="118"/>
      <c r="D139" s="118"/>
      <c r="E139" s="150"/>
      <c r="F139" s="140"/>
      <c r="G139" s="3"/>
      <c r="H139" s="3"/>
    </row>
    <row r="140" spans="1:12" s="4" customFormat="1">
      <c r="A140" s="20"/>
      <c r="C140" s="118"/>
      <c r="D140" s="118"/>
      <c r="E140" s="150"/>
      <c r="F140" s="140"/>
      <c r="G140" s="3"/>
      <c r="H140" s="3"/>
    </row>
    <row r="141" spans="1:12" s="4" customFormat="1">
      <c r="A141" s="20"/>
      <c r="C141" s="118"/>
      <c r="D141" s="118"/>
      <c r="E141" s="150"/>
      <c r="F141" s="140"/>
      <c r="G141" s="3"/>
      <c r="H141" s="3"/>
    </row>
    <row r="142" spans="1:12" s="4" customFormat="1">
      <c r="A142" s="20"/>
      <c r="C142" s="118"/>
      <c r="D142" s="118"/>
      <c r="E142" s="150"/>
      <c r="F142" s="140"/>
      <c r="G142" s="3"/>
      <c r="H142" s="3"/>
    </row>
    <row r="143" spans="1:12" s="4" customFormat="1">
      <c r="A143" s="20"/>
      <c r="C143" s="118"/>
      <c r="D143" s="118"/>
      <c r="E143" s="150"/>
      <c r="F143" s="140"/>
      <c r="G143" s="3"/>
      <c r="H143" s="3"/>
    </row>
    <row r="144" spans="1:12" s="4" customFormat="1">
      <c r="A144" s="20"/>
      <c r="C144" s="118"/>
      <c r="D144" s="118"/>
      <c r="E144" s="150"/>
      <c r="F144" s="140"/>
      <c r="G144" s="3"/>
      <c r="H144" s="3"/>
      <c r="J144" s="4">
        <v>698.8</v>
      </c>
      <c r="K144" s="4">
        <v>395</v>
      </c>
      <c r="L144" s="4">
        <v>28</v>
      </c>
    </row>
    <row r="145" spans="1:8" s="4" customFormat="1">
      <c r="A145" s="20"/>
      <c r="C145" s="118"/>
      <c r="D145" s="118"/>
      <c r="E145" s="150"/>
      <c r="F145" s="140"/>
      <c r="G145" s="3"/>
      <c r="H145" s="3"/>
    </row>
    <row r="146" spans="1:8" s="4" customFormat="1">
      <c r="A146" s="20"/>
      <c r="C146" s="118"/>
      <c r="D146" s="118"/>
      <c r="E146" s="150"/>
      <c r="F146" s="140"/>
      <c r="G146" s="3"/>
      <c r="H146" s="3"/>
    </row>
    <row r="147" spans="1:8" s="4" customFormat="1">
      <c r="A147" s="20"/>
      <c r="C147" s="118"/>
      <c r="D147" s="118"/>
      <c r="E147" s="150"/>
      <c r="F147" s="140"/>
      <c r="G147" s="3"/>
      <c r="H147" s="3"/>
    </row>
    <row r="148" spans="1:8" s="4" customFormat="1">
      <c r="A148" s="20"/>
      <c r="C148" s="118"/>
      <c r="D148" s="118"/>
      <c r="E148" s="150"/>
      <c r="F148" s="140"/>
      <c r="G148" s="3"/>
      <c r="H148" s="3"/>
    </row>
    <row r="149" spans="1:8" s="4" customFormat="1">
      <c r="A149" s="20"/>
      <c r="C149" s="118"/>
      <c r="D149" s="118"/>
      <c r="E149" s="150"/>
      <c r="F149" s="140"/>
      <c r="G149" s="3"/>
      <c r="H149" s="3"/>
    </row>
    <row r="150" spans="1:8" s="4" customFormat="1">
      <c r="A150" s="20"/>
      <c r="C150" s="118"/>
      <c r="D150" s="118"/>
      <c r="E150" s="150"/>
      <c r="F150" s="140"/>
      <c r="G150" s="3"/>
      <c r="H150" s="3"/>
    </row>
    <row r="151" spans="1:8" s="4" customFormat="1">
      <c r="A151" s="20"/>
      <c r="C151" s="118"/>
      <c r="D151" s="118"/>
      <c r="E151" s="150"/>
      <c r="F151" s="140"/>
      <c r="G151" s="3"/>
      <c r="H151" s="3"/>
    </row>
    <row r="152" spans="1:8" s="4" customFormat="1">
      <c r="A152" s="20"/>
      <c r="C152" s="118"/>
      <c r="D152" s="118"/>
      <c r="E152" s="150"/>
      <c r="F152" s="140"/>
      <c r="G152" s="3"/>
      <c r="H152" s="3"/>
    </row>
    <row r="153" spans="1:8" s="4" customFormat="1">
      <c r="A153" s="20"/>
      <c r="C153" s="118"/>
      <c r="D153" s="118"/>
      <c r="E153" s="150"/>
      <c r="F153" s="140"/>
      <c r="G153" s="3"/>
      <c r="H153" s="3"/>
    </row>
    <row r="154" spans="1:8" s="4" customFormat="1">
      <c r="A154" s="20"/>
      <c r="C154" s="118"/>
      <c r="D154" s="118"/>
      <c r="E154" s="150"/>
      <c r="F154" s="140"/>
      <c r="G154" s="3"/>
      <c r="H154" s="3"/>
    </row>
    <row r="155" spans="1:8" s="4" customFormat="1">
      <c r="A155" s="20"/>
      <c r="C155" s="118"/>
      <c r="D155" s="118"/>
      <c r="E155" s="150"/>
      <c r="F155" s="140"/>
      <c r="G155" s="3"/>
      <c r="H155" s="3"/>
    </row>
    <row r="156" spans="1:8" s="4" customFormat="1">
      <c r="A156" s="20"/>
      <c r="C156" s="118"/>
      <c r="D156" s="118"/>
      <c r="E156" s="150"/>
      <c r="F156" s="140"/>
      <c r="G156" s="3"/>
      <c r="H156" s="3"/>
    </row>
    <row r="157" spans="1:8" s="4" customFormat="1">
      <c r="A157" s="20"/>
      <c r="C157" s="118"/>
      <c r="D157" s="118"/>
      <c r="E157" s="150"/>
      <c r="F157" s="140"/>
      <c r="G157" s="3"/>
      <c r="H157" s="3"/>
    </row>
    <row r="158" spans="1:8" s="4" customFormat="1">
      <c r="A158" s="20"/>
      <c r="C158" s="118"/>
      <c r="D158" s="118"/>
      <c r="E158" s="150"/>
      <c r="F158" s="140"/>
      <c r="G158" s="3"/>
      <c r="H158" s="3"/>
    </row>
    <row r="159" spans="1:8" s="4" customFormat="1">
      <c r="A159" s="20"/>
      <c r="C159" s="118"/>
      <c r="D159" s="118"/>
      <c r="E159" s="150"/>
      <c r="F159" s="140"/>
      <c r="G159" s="3"/>
      <c r="H159" s="3"/>
    </row>
    <row r="160" spans="1:8" s="4" customFormat="1">
      <c r="A160" s="20"/>
      <c r="C160" s="118"/>
      <c r="D160" s="118"/>
      <c r="E160" s="150"/>
      <c r="F160" s="140"/>
      <c r="G160" s="3"/>
      <c r="H160" s="3"/>
    </row>
    <row r="161" spans="1:8" s="4" customFormat="1">
      <c r="A161" s="20"/>
      <c r="C161" s="118"/>
      <c r="D161" s="118"/>
      <c r="E161" s="150"/>
      <c r="F161" s="140"/>
      <c r="G161" s="3"/>
      <c r="H161" s="3"/>
    </row>
    <row r="162" spans="1:8" s="4" customFormat="1">
      <c r="A162" s="20"/>
      <c r="C162" s="118"/>
      <c r="D162" s="118"/>
      <c r="E162" s="150"/>
      <c r="F162" s="140"/>
      <c r="G162" s="3"/>
      <c r="H162" s="3"/>
    </row>
    <row r="163" spans="1:8" s="4" customFormat="1">
      <c r="A163" s="20"/>
      <c r="C163" s="118"/>
      <c r="D163" s="118"/>
      <c r="E163" s="150"/>
      <c r="F163" s="140"/>
      <c r="G163" s="3"/>
      <c r="H163" s="3"/>
    </row>
    <row r="164" spans="1:8" s="4" customFormat="1">
      <c r="A164" s="20"/>
      <c r="C164" s="118"/>
      <c r="D164" s="118"/>
      <c r="E164" s="150"/>
      <c r="F164" s="140"/>
      <c r="G164" s="3"/>
      <c r="H164" s="3"/>
    </row>
    <row r="165" spans="1:8" s="4" customFormat="1">
      <c r="A165" s="20"/>
      <c r="C165" s="118"/>
      <c r="D165" s="118"/>
      <c r="E165" s="150"/>
      <c r="F165" s="140"/>
      <c r="G165" s="3"/>
      <c r="H165" s="3"/>
    </row>
    <row r="166" spans="1:8" s="4" customFormat="1">
      <c r="A166" s="20"/>
      <c r="C166" s="118"/>
      <c r="D166" s="118"/>
      <c r="E166" s="150"/>
      <c r="F166" s="140"/>
      <c r="G166" s="3"/>
      <c r="H166" s="3"/>
    </row>
    <row r="167" spans="1:8" s="4" customFormat="1">
      <c r="A167" s="20"/>
      <c r="C167" s="118"/>
      <c r="D167" s="118"/>
      <c r="E167" s="150"/>
      <c r="F167" s="140"/>
      <c r="G167" s="3"/>
      <c r="H167" s="3"/>
    </row>
    <row r="168" spans="1:8" s="4" customFormat="1">
      <c r="A168" s="20"/>
      <c r="C168" s="118"/>
      <c r="D168" s="118"/>
      <c r="E168" s="150"/>
      <c r="F168" s="140"/>
      <c r="G168" s="3"/>
      <c r="H168" s="3"/>
    </row>
    <row r="169" spans="1:8" s="4" customFormat="1">
      <c r="A169" s="20"/>
      <c r="C169" s="118"/>
      <c r="D169" s="118"/>
      <c r="E169" s="150"/>
      <c r="F169" s="140"/>
      <c r="G169" s="3"/>
      <c r="H169" s="3"/>
    </row>
    <row r="170" spans="1:8" s="4" customFormat="1">
      <c r="A170" s="20"/>
      <c r="C170" s="118"/>
      <c r="D170" s="118"/>
      <c r="E170" s="150"/>
      <c r="F170" s="140"/>
      <c r="G170" s="3"/>
      <c r="H170" s="3"/>
    </row>
    <row r="171" spans="1:8" s="4" customFormat="1">
      <c r="A171" s="20"/>
      <c r="C171" s="118"/>
      <c r="D171" s="118"/>
      <c r="E171" s="150"/>
      <c r="F171" s="140"/>
      <c r="G171" s="3"/>
      <c r="H171" s="3"/>
    </row>
    <row r="172" spans="1:8" s="4" customFormat="1">
      <c r="A172" s="20"/>
      <c r="C172" s="118"/>
      <c r="D172" s="118"/>
      <c r="E172" s="150"/>
      <c r="F172" s="140"/>
      <c r="G172" s="3"/>
      <c r="H172" s="3"/>
    </row>
    <row r="173" spans="1:8" s="4" customFormat="1">
      <c r="A173" s="20"/>
      <c r="C173" s="118"/>
      <c r="D173" s="118"/>
      <c r="E173" s="150"/>
      <c r="F173" s="140"/>
      <c r="G173" s="3"/>
      <c r="H173" s="3"/>
    </row>
    <row r="174" spans="1:8" s="4" customFormat="1">
      <c r="A174" s="20"/>
      <c r="C174" s="118"/>
      <c r="D174" s="118"/>
      <c r="E174" s="150"/>
      <c r="F174" s="140"/>
      <c r="G174" s="3"/>
      <c r="H174" s="3"/>
    </row>
    <row r="175" spans="1:8" s="4" customFormat="1">
      <c r="A175" s="20"/>
      <c r="C175" s="118"/>
      <c r="D175" s="118"/>
      <c r="E175" s="150"/>
      <c r="F175" s="140"/>
      <c r="G175" s="3"/>
      <c r="H175" s="3"/>
    </row>
    <row r="176" spans="1:8" s="4" customFormat="1">
      <c r="A176" s="20"/>
      <c r="C176" s="118"/>
      <c r="D176" s="118"/>
      <c r="E176" s="150"/>
      <c r="F176" s="140"/>
      <c r="G176" s="3"/>
      <c r="H176" s="3"/>
    </row>
    <row r="177" spans="1:8" s="4" customFormat="1">
      <c r="A177" s="20"/>
      <c r="C177" s="118"/>
      <c r="D177" s="118"/>
      <c r="E177" s="150"/>
      <c r="F177" s="140"/>
      <c r="G177" s="3"/>
      <c r="H177" s="3"/>
    </row>
    <row r="178" spans="1:8" s="4" customFormat="1">
      <c r="A178" s="20"/>
      <c r="C178" s="118"/>
      <c r="D178" s="118"/>
      <c r="E178" s="150"/>
      <c r="F178" s="140"/>
      <c r="G178" s="3"/>
      <c r="H178" s="3"/>
    </row>
    <row r="179" spans="1:8" s="4" customFormat="1">
      <c r="A179" s="20"/>
      <c r="C179" s="118"/>
      <c r="D179" s="118"/>
      <c r="E179" s="150"/>
      <c r="F179" s="140"/>
      <c r="G179" s="3"/>
      <c r="H179" s="3"/>
    </row>
    <row r="180" spans="1:8" s="4" customFormat="1">
      <c r="A180" s="20"/>
      <c r="C180" s="118"/>
      <c r="D180" s="118"/>
      <c r="E180" s="150"/>
      <c r="F180" s="140"/>
      <c r="G180" s="3"/>
      <c r="H180" s="3"/>
    </row>
    <row r="181" spans="1:8" s="4" customFormat="1">
      <c r="A181" s="20"/>
      <c r="C181" s="118"/>
      <c r="D181" s="118"/>
      <c r="E181" s="150"/>
      <c r="F181" s="140"/>
      <c r="G181" s="3"/>
      <c r="H181" s="3"/>
    </row>
    <row r="182" spans="1:8" s="4" customFormat="1">
      <c r="A182" s="20"/>
      <c r="C182" s="118"/>
      <c r="D182" s="118"/>
      <c r="E182" s="150"/>
      <c r="F182" s="140"/>
      <c r="G182" s="3"/>
      <c r="H182" s="3"/>
    </row>
    <row r="183" spans="1:8" s="4" customFormat="1">
      <c r="A183" s="20"/>
      <c r="C183" s="118"/>
      <c r="D183" s="118"/>
      <c r="E183" s="150"/>
      <c r="F183" s="140"/>
      <c r="G183" s="3"/>
      <c r="H183" s="3"/>
    </row>
    <row r="184" spans="1:8" s="4" customFormat="1">
      <c r="A184" s="20"/>
      <c r="C184" s="118"/>
      <c r="D184" s="118"/>
      <c r="E184" s="150"/>
      <c r="F184" s="140"/>
      <c r="G184" s="3"/>
      <c r="H184" s="3"/>
    </row>
    <row r="185" spans="1:8" s="4" customFormat="1">
      <c r="A185" s="20"/>
      <c r="C185" s="118"/>
      <c r="D185" s="118"/>
      <c r="E185" s="150"/>
      <c r="F185" s="140"/>
      <c r="G185" s="3"/>
      <c r="H185" s="3"/>
    </row>
    <row r="186" spans="1:8" s="4" customFormat="1">
      <c r="A186" s="20"/>
      <c r="C186" s="118"/>
      <c r="D186" s="118"/>
      <c r="E186" s="150"/>
      <c r="F186" s="140"/>
      <c r="G186" s="3"/>
      <c r="H186" s="3"/>
    </row>
    <row r="187" spans="1:8" s="4" customFormat="1">
      <c r="A187" s="20"/>
      <c r="C187" s="118"/>
      <c r="D187" s="118"/>
      <c r="E187" s="150"/>
      <c r="F187" s="140"/>
      <c r="G187" s="3"/>
      <c r="H187" s="3"/>
    </row>
    <row r="188" spans="1:8" s="4" customFormat="1">
      <c r="A188" s="20"/>
      <c r="C188" s="118"/>
      <c r="D188" s="118"/>
      <c r="E188" s="150"/>
      <c r="F188" s="140"/>
      <c r="G188" s="3"/>
      <c r="H188" s="3"/>
    </row>
    <row r="189" spans="1:8" s="4" customFormat="1">
      <c r="A189" s="20"/>
      <c r="C189" s="118"/>
      <c r="D189" s="118"/>
      <c r="E189" s="150"/>
      <c r="F189" s="140"/>
      <c r="G189" s="3"/>
      <c r="H189" s="3"/>
    </row>
    <row r="190" spans="1:8" s="4" customFormat="1">
      <c r="A190" s="20"/>
      <c r="C190" s="118"/>
      <c r="D190" s="118"/>
      <c r="E190" s="150"/>
      <c r="F190" s="140"/>
      <c r="G190" s="3"/>
      <c r="H190" s="3"/>
    </row>
    <row r="191" spans="1:8" s="4" customFormat="1">
      <c r="A191" s="20"/>
      <c r="C191" s="118"/>
      <c r="D191" s="118"/>
      <c r="E191" s="150"/>
      <c r="F191" s="140"/>
      <c r="G191" s="3"/>
      <c r="H191" s="3"/>
    </row>
    <row r="192" spans="1:8" s="4" customFormat="1">
      <c r="A192" s="20"/>
      <c r="C192" s="118"/>
      <c r="D192" s="118"/>
      <c r="E192" s="150"/>
      <c r="F192" s="140"/>
      <c r="G192" s="3"/>
      <c r="H192" s="3"/>
    </row>
    <row r="193" spans="1:8" s="4" customFormat="1">
      <c r="A193" s="20"/>
      <c r="C193" s="118"/>
      <c r="D193" s="118"/>
      <c r="E193" s="150"/>
      <c r="F193" s="140"/>
      <c r="G193" s="3"/>
      <c r="H193" s="3"/>
    </row>
    <row r="194" spans="1:8" s="4" customFormat="1">
      <c r="A194" s="20"/>
      <c r="C194" s="118"/>
      <c r="D194" s="118"/>
      <c r="E194" s="150"/>
      <c r="F194" s="140"/>
      <c r="G194" s="3"/>
      <c r="H194" s="3"/>
    </row>
    <row r="195" spans="1:8" s="4" customFormat="1">
      <c r="A195" s="20"/>
      <c r="C195" s="118"/>
      <c r="D195" s="118"/>
      <c r="E195" s="150"/>
      <c r="F195" s="140"/>
      <c r="G195" s="3"/>
      <c r="H195" s="3"/>
    </row>
    <row r="196" spans="1:8" s="4" customFormat="1">
      <c r="A196" s="20"/>
      <c r="C196" s="118"/>
      <c r="D196" s="118"/>
      <c r="E196" s="150"/>
      <c r="F196" s="140"/>
      <c r="G196" s="3"/>
      <c r="H196" s="3"/>
    </row>
    <row r="197" spans="1:8" s="4" customFormat="1">
      <c r="A197" s="20"/>
      <c r="C197" s="118"/>
      <c r="D197" s="118"/>
      <c r="E197" s="150"/>
      <c r="F197" s="140"/>
      <c r="G197" s="3"/>
      <c r="H197" s="3"/>
    </row>
    <row r="198" spans="1:8" s="4" customFormat="1">
      <c r="A198" s="20"/>
      <c r="C198" s="118"/>
      <c r="D198" s="118"/>
      <c r="E198" s="150"/>
      <c r="F198" s="140"/>
      <c r="G198" s="3"/>
      <c r="H198" s="3"/>
    </row>
    <row r="199" spans="1:8" s="4" customFormat="1">
      <c r="A199" s="20"/>
      <c r="C199" s="118"/>
      <c r="D199" s="118"/>
      <c r="E199" s="150"/>
      <c r="F199" s="140"/>
      <c r="G199" s="3"/>
      <c r="H199" s="3"/>
    </row>
    <row r="200" spans="1:8" s="4" customFormat="1">
      <c r="A200" s="20"/>
      <c r="C200" s="118"/>
      <c r="D200" s="118"/>
      <c r="E200" s="150"/>
      <c r="F200" s="140"/>
      <c r="G200" s="3"/>
      <c r="H200" s="3"/>
    </row>
    <row r="201" spans="1:8" s="4" customFormat="1">
      <c r="A201" s="20"/>
      <c r="C201" s="118"/>
      <c r="D201" s="118"/>
      <c r="E201" s="150"/>
      <c r="F201" s="140"/>
      <c r="G201" s="3"/>
      <c r="H201" s="3"/>
    </row>
    <row r="202" spans="1:8" s="4" customFormat="1">
      <c r="A202" s="20"/>
      <c r="C202" s="118"/>
      <c r="D202" s="118"/>
      <c r="E202" s="150"/>
      <c r="F202" s="140"/>
      <c r="G202" s="3"/>
      <c r="H202" s="3"/>
    </row>
    <row r="203" spans="1:8" s="4" customFormat="1">
      <c r="A203" s="20"/>
      <c r="C203" s="118"/>
      <c r="D203" s="118"/>
      <c r="E203" s="150"/>
      <c r="F203" s="140"/>
      <c r="G203" s="3"/>
      <c r="H203" s="3"/>
    </row>
    <row r="204" spans="1:8" s="4" customFormat="1">
      <c r="A204" s="20"/>
      <c r="C204" s="118"/>
      <c r="D204" s="118"/>
      <c r="E204" s="150"/>
      <c r="F204" s="140"/>
      <c r="G204" s="3"/>
      <c r="H204" s="3"/>
    </row>
    <row r="205" spans="1:8" s="4" customFormat="1">
      <c r="A205" s="20"/>
      <c r="C205" s="118"/>
      <c r="D205" s="118"/>
      <c r="E205" s="150"/>
      <c r="F205" s="140"/>
      <c r="G205" s="3"/>
      <c r="H205" s="3"/>
    </row>
    <row r="206" spans="1:8" s="4" customFormat="1">
      <c r="A206" s="20"/>
      <c r="C206" s="118"/>
      <c r="D206" s="118"/>
      <c r="E206" s="150"/>
      <c r="F206" s="140"/>
      <c r="G206" s="3"/>
      <c r="H206" s="3"/>
    </row>
    <row r="207" spans="1:8" s="4" customFormat="1">
      <c r="A207" s="20"/>
      <c r="C207" s="118"/>
      <c r="D207" s="118"/>
      <c r="E207" s="150"/>
      <c r="F207" s="140"/>
      <c r="G207" s="3"/>
      <c r="H207" s="3"/>
    </row>
    <row r="208" spans="1:8" s="4" customFormat="1">
      <c r="A208" s="20"/>
      <c r="C208" s="118"/>
      <c r="D208" s="118"/>
      <c r="E208" s="150"/>
      <c r="F208" s="140"/>
      <c r="G208" s="3"/>
      <c r="H208" s="3"/>
    </row>
    <row r="209" spans="1:8" s="4" customFormat="1">
      <c r="A209" s="20"/>
      <c r="C209" s="118"/>
      <c r="D209" s="118"/>
      <c r="E209" s="150"/>
      <c r="F209" s="140"/>
      <c r="G209" s="3"/>
      <c r="H209" s="3"/>
    </row>
    <row r="210" spans="1:8" s="4" customFormat="1">
      <c r="A210" s="20"/>
      <c r="C210" s="118"/>
      <c r="D210" s="118"/>
      <c r="E210" s="150"/>
      <c r="F210" s="140"/>
      <c r="G210" s="3"/>
      <c r="H210" s="3"/>
    </row>
    <row r="211" spans="1:8" s="4" customFormat="1">
      <c r="A211" s="20"/>
      <c r="C211" s="118"/>
      <c r="D211" s="118"/>
      <c r="E211" s="150"/>
      <c r="F211" s="140"/>
      <c r="G211" s="3"/>
      <c r="H211" s="3"/>
    </row>
    <row r="212" spans="1:8" s="4" customFormat="1">
      <c r="A212" s="20"/>
      <c r="C212" s="118"/>
      <c r="D212" s="118"/>
      <c r="E212" s="150"/>
      <c r="F212" s="140"/>
      <c r="G212" s="3"/>
      <c r="H212" s="3"/>
    </row>
    <row r="213" spans="1:8" s="4" customFormat="1">
      <c r="A213" s="20"/>
      <c r="C213" s="118"/>
      <c r="D213" s="118"/>
      <c r="E213" s="150"/>
      <c r="F213" s="140"/>
      <c r="G213" s="3"/>
      <c r="H213" s="3"/>
    </row>
    <row r="214" spans="1:8" s="4" customFormat="1">
      <c r="A214" s="20"/>
      <c r="C214" s="118"/>
      <c r="D214" s="118"/>
      <c r="E214" s="150"/>
      <c r="F214" s="140"/>
      <c r="G214" s="3"/>
      <c r="H214" s="3"/>
    </row>
    <row r="215" spans="1:8" s="4" customFormat="1">
      <c r="A215" s="20"/>
      <c r="C215" s="118"/>
      <c r="D215" s="118"/>
      <c r="E215" s="150"/>
      <c r="F215" s="140"/>
      <c r="G215" s="3"/>
      <c r="H215" s="3"/>
    </row>
    <row r="216" spans="1:8" s="4" customFormat="1">
      <c r="A216" s="20"/>
      <c r="C216" s="118"/>
      <c r="D216" s="118"/>
      <c r="E216" s="150"/>
      <c r="F216" s="140"/>
      <c r="G216" s="3"/>
      <c r="H216" s="3"/>
    </row>
    <row r="217" spans="1:8" s="4" customFormat="1">
      <c r="A217" s="20"/>
      <c r="C217" s="118"/>
      <c r="D217" s="118"/>
      <c r="E217" s="150"/>
      <c r="F217" s="140"/>
      <c r="G217" s="3"/>
      <c r="H217" s="3"/>
    </row>
    <row r="218" spans="1:8" s="4" customFormat="1">
      <c r="A218" s="20"/>
      <c r="C218" s="118"/>
      <c r="D218" s="118"/>
      <c r="E218" s="150"/>
      <c r="F218" s="140"/>
      <c r="G218" s="3"/>
      <c r="H218" s="3"/>
    </row>
    <row r="219" spans="1:8" s="4" customFormat="1">
      <c r="A219" s="20"/>
      <c r="C219" s="118"/>
      <c r="D219" s="118"/>
      <c r="E219" s="150"/>
      <c r="F219" s="140"/>
      <c r="G219" s="3"/>
      <c r="H219" s="3"/>
    </row>
    <row r="220" spans="1:8" s="4" customFormat="1">
      <c r="A220" s="20"/>
      <c r="C220" s="118"/>
      <c r="D220" s="118"/>
      <c r="E220" s="150"/>
      <c r="F220" s="140"/>
      <c r="G220" s="3"/>
      <c r="H220" s="3"/>
    </row>
    <row r="221" spans="1:8" s="4" customFormat="1">
      <c r="A221" s="20"/>
      <c r="C221" s="118"/>
      <c r="D221" s="118"/>
      <c r="E221" s="150"/>
      <c r="F221" s="140"/>
      <c r="G221" s="3"/>
      <c r="H221" s="3"/>
    </row>
    <row r="222" spans="1:8" s="4" customFormat="1">
      <c r="A222" s="20"/>
      <c r="C222" s="118"/>
      <c r="D222" s="118"/>
      <c r="E222" s="150"/>
      <c r="F222" s="140"/>
      <c r="G222" s="3"/>
      <c r="H222" s="3"/>
    </row>
    <row r="223" spans="1:8" s="4" customFormat="1">
      <c r="A223" s="20"/>
      <c r="C223" s="118"/>
      <c r="D223" s="118"/>
      <c r="E223" s="150"/>
      <c r="F223" s="140"/>
      <c r="G223" s="3"/>
      <c r="H223" s="3"/>
    </row>
    <row r="224" spans="1:8" s="4" customFormat="1">
      <c r="A224" s="20"/>
      <c r="C224" s="118"/>
      <c r="D224" s="118"/>
      <c r="E224" s="150"/>
      <c r="F224" s="140"/>
      <c r="G224" s="3"/>
      <c r="H224" s="3"/>
    </row>
    <row r="225" spans="1:8" s="4" customFormat="1">
      <c r="A225" s="20"/>
      <c r="C225" s="118"/>
      <c r="D225" s="118"/>
      <c r="E225" s="150"/>
      <c r="F225" s="140"/>
      <c r="G225" s="3"/>
      <c r="H225" s="3"/>
    </row>
    <row r="226" spans="1:8" s="4" customFormat="1">
      <c r="A226" s="20"/>
      <c r="C226" s="118"/>
      <c r="D226" s="118"/>
      <c r="E226" s="150"/>
      <c r="F226" s="140"/>
      <c r="G226" s="3"/>
      <c r="H226" s="3"/>
    </row>
    <row r="227" spans="1:8" s="4" customFormat="1">
      <c r="A227" s="20"/>
      <c r="C227" s="118"/>
      <c r="D227" s="118"/>
      <c r="E227" s="150"/>
      <c r="F227" s="140"/>
      <c r="G227" s="3"/>
      <c r="H227" s="3"/>
    </row>
    <row r="228" spans="1:8" s="4" customFormat="1">
      <c r="A228" s="20"/>
      <c r="C228" s="118"/>
      <c r="D228" s="118"/>
      <c r="E228" s="150"/>
      <c r="F228" s="140"/>
      <c r="G228" s="3"/>
      <c r="H228" s="3"/>
    </row>
    <row r="229" spans="1:8" s="4" customFormat="1">
      <c r="A229" s="20"/>
      <c r="C229" s="118"/>
      <c r="D229" s="118"/>
      <c r="E229" s="150"/>
      <c r="F229" s="140"/>
      <c r="G229" s="3"/>
      <c r="H229" s="3"/>
    </row>
    <row r="230" spans="1:8" s="4" customFormat="1">
      <c r="A230" s="20"/>
      <c r="C230" s="118"/>
      <c r="D230" s="118"/>
      <c r="E230" s="150"/>
      <c r="F230" s="140"/>
      <c r="G230" s="3"/>
      <c r="H230" s="3"/>
    </row>
    <row r="231" spans="1:8" s="4" customFormat="1">
      <c r="A231" s="20"/>
      <c r="C231" s="118"/>
      <c r="D231" s="118"/>
      <c r="E231" s="150"/>
      <c r="F231" s="140"/>
      <c r="G231" s="3"/>
      <c r="H231" s="3"/>
    </row>
    <row r="232" spans="1:8" s="4" customFormat="1">
      <c r="A232" s="20"/>
      <c r="C232" s="118"/>
      <c r="D232" s="118"/>
      <c r="E232" s="150"/>
      <c r="F232" s="140"/>
      <c r="G232" s="3"/>
      <c r="H232" s="3"/>
    </row>
    <row r="233" spans="1:8" s="4" customFormat="1">
      <c r="A233" s="20"/>
      <c r="C233" s="118"/>
      <c r="D233" s="118"/>
      <c r="E233" s="150"/>
      <c r="F233" s="140"/>
      <c r="G233" s="3"/>
      <c r="H233" s="3"/>
    </row>
    <row r="234" spans="1:8" s="4" customFormat="1">
      <c r="A234" s="20"/>
      <c r="C234" s="118"/>
      <c r="D234" s="118"/>
      <c r="E234" s="150"/>
      <c r="F234" s="140"/>
      <c r="G234" s="3"/>
      <c r="H234" s="3"/>
    </row>
    <row r="235" spans="1:8" s="4" customFormat="1">
      <c r="A235" s="20"/>
      <c r="C235" s="118"/>
      <c r="D235" s="118"/>
      <c r="E235" s="150"/>
      <c r="F235" s="140"/>
      <c r="G235" s="3"/>
      <c r="H235" s="3"/>
    </row>
    <row r="236" spans="1:8" s="4" customFormat="1">
      <c r="A236" s="20"/>
      <c r="C236" s="118"/>
      <c r="D236" s="118"/>
      <c r="E236" s="150"/>
      <c r="F236" s="140"/>
      <c r="G236" s="3"/>
      <c r="H236" s="3"/>
    </row>
    <row r="237" spans="1:8" s="4" customFormat="1">
      <c r="A237" s="20"/>
      <c r="C237" s="118"/>
      <c r="D237" s="118"/>
      <c r="E237" s="150"/>
      <c r="F237" s="140"/>
      <c r="G237" s="3"/>
      <c r="H237" s="3"/>
    </row>
    <row r="238" spans="1:8" s="4" customFormat="1">
      <c r="A238" s="20"/>
      <c r="C238" s="118"/>
      <c r="D238" s="118"/>
      <c r="E238" s="150"/>
      <c r="F238" s="140"/>
      <c r="G238" s="3"/>
      <c r="H238" s="3"/>
    </row>
    <row r="239" spans="1:8" s="4" customFormat="1">
      <c r="A239" s="20"/>
      <c r="C239" s="118"/>
      <c r="D239" s="118"/>
      <c r="E239" s="150"/>
      <c r="F239" s="140"/>
      <c r="G239" s="3"/>
      <c r="H239" s="3"/>
    </row>
    <row r="240" spans="1:8" s="4" customFormat="1">
      <c r="A240" s="20"/>
      <c r="C240" s="118"/>
      <c r="D240" s="118"/>
      <c r="E240" s="150"/>
      <c r="F240" s="140"/>
      <c r="G240" s="3"/>
      <c r="H240" s="3"/>
    </row>
    <row r="241" spans="1:8" s="4" customFormat="1">
      <c r="A241" s="20"/>
      <c r="C241" s="118"/>
      <c r="D241" s="118"/>
      <c r="E241" s="150"/>
      <c r="F241" s="140"/>
      <c r="G241" s="3"/>
      <c r="H241" s="3"/>
    </row>
    <row r="242" spans="1:8" s="4" customFormat="1">
      <c r="A242" s="20"/>
      <c r="C242" s="118"/>
      <c r="D242" s="118"/>
      <c r="E242" s="150"/>
      <c r="F242" s="140"/>
      <c r="G242" s="3"/>
      <c r="H242" s="3"/>
    </row>
    <row r="243" spans="1:8" s="4" customFormat="1">
      <c r="A243" s="20"/>
      <c r="C243" s="118"/>
      <c r="D243" s="118"/>
      <c r="E243" s="150"/>
      <c r="F243" s="140"/>
      <c r="G243" s="3"/>
      <c r="H243" s="3"/>
    </row>
    <row r="244" spans="1:8" s="4" customFormat="1">
      <c r="A244" s="20"/>
      <c r="C244" s="118"/>
      <c r="D244" s="118"/>
      <c r="E244" s="150"/>
      <c r="F244" s="140"/>
      <c r="G244" s="3"/>
      <c r="H244" s="3"/>
    </row>
    <row r="245" spans="1:8" s="4" customFormat="1">
      <c r="A245" s="20"/>
      <c r="C245" s="118"/>
      <c r="D245" s="118"/>
      <c r="E245" s="150"/>
      <c r="F245" s="140"/>
      <c r="G245" s="3"/>
      <c r="H245" s="3"/>
    </row>
    <row r="246" spans="1:8" s="4" customFormat="1">
      <c r="A246" s="20"/>
      <c r="C246" s="118"/>
      <c r="D246" s="118"/>
      <c r="E246" s="150"/>
      <c r="F246" s="140"/>
      <c r="G246" s="3"/>
      <c r="H246" s="3"/>
    </row>
    <row r="247" spans="1:8" s="4" customFormat="1">
      <c r="A247" s="20"/>
      <c r="C247" s="118"/>
      <c r="D247" s="118"/>
      <c r="E247" s="150"/>
      <c r="F247" s="140"/>
      <c r="G247" s="3"/>
      <c r="H247" s="3"/>
    </row>
    <row r="248" spans="1:8" s="4" customFormat="1">
      <c r="A248" s="20"/>
      <c r="C248" s="118"/>
      <c r="D248" s="118"/>
      <c r="E248" s="150"/>
      <c r="F248" s="140"/>
      <c r="G248" s="3"/>
      <c r="H248" s="3"/>
    </row>
    <row r="249" spans="1:8" s="4" customFormat="1">
      <c r="A249" s="20"/>
      <c r="C249" s="118"/>
      <c r="D249" s="118"/>
      <c r="E249" s="150"/>
      <c r="F249" s="140"/>
      <c r="G249" s="3"/>
      <c r="H249" s="3"/>
    </row>
    <row r="250" spans="1:8" s="4" customFormat="1">
      <c r="A250" s="20"/>
      <c r="C250" s="118"/>
      <c r="D250" s="118"/>
      <c r="E250" s="150"/>
      <c r="F250" s="140"/>
      <c r="G250" s="3"/>
      <c r="H250" s="3"/>
    </row>
    <row r="251" spans="1:8" s="4" customFormat="1">
      <c r="A251" s="20"/>
      <c r="C251" s="118"/>
      <c r="D251" s="118"/>
      <c r="E251" s="150"/>
      <c r="F251" s="140"/>
      <c r="G251" s="3"/>
      <c r="H251" s="3"/>
    </row>
    <row r="252" spans="1:8" s="4" customFormat="1">
      <c r="A252" s="20"/>
      <c r="C252" s="118"/>
      <c r="D252" s="118"/>
      <c r="E252" s="150"/>
      <c r="F252" s="140"/>
      <c r="G252" s="3"/>
      <c r="H252" s="3"/>
    </row>
    <row r="253" spans="1:8" s="4" customFormat="1">
      <c r="A253" s="20"/>
      <c r="C253" s="118"/>
      <c r="D253" s="118"/>
      <c r="E253" s="150"/>
      <c r="F253" s="140"/>
      <c r="G253" s="3"/>
      <c r="H253" s="3"/>
    </row>
    <row r="254" spans="1:8" s="4" customFormat="1">
      <c r="A254" s="20"/>
      <c r="C254" s="118"/>
      <c r="D254" s="118"/>
      <c r="E254" s="150"/>
      <c r="F254" s="140"/>
      <c r="G254" s="3"/>
      <c r="H254" s="3"/>
    </row>
    <row r="255" spans="1:8" s="4" customFormat="1">
      <c r="A255" s="20"/>
      <c r="C255" s="118"/>
      <c r="D255" s="118"/>
      <c r="E255" s="150"/>
      <c r="F255" s="140"/>
      <c r="G255" s="3"/>
      <c r="H255" s="3"/>
    </row>
    <row r="256" spans="1:8" s="4" customFormat="1">
      <c r="A256" s="20"/>
      <c r="C256" s="118"/>
      <c r="D256" s="118"/>
      <c r="E256" s="150"/>
      <c r="F256" s="140"/>
      <c r="G256" s="3"/>
      <c r="H256" s="3"/>
    </row>
    <row r="257" spans="1:8" s="4" customFormat="1">
      <c r="A257" s="20"/>
      <c r="C257" s="118"/>
      <c r="D257" s="118"/>
      <c r="E257" s="150"/>
      <c r="F257" s="140"/>
      <c r="G257" s="3"/>
      <c r="H257" s="3"/>
    </row>
    <row r="258" spans="1:8" s="4" customFormat="1">
      <c r="A258" s="20"/>
      <c r="C258" s="118"/>
      <c r="D258" s="118"/>
      <c r="E258" s="150"/>
      <c r="F258" s="140"/>
      <c r="G258" s="3"/>
      <c r="H258" s="3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59055118110236227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23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I188"/>
  <sheetViews>
    <sheetView view="pageBreakPreview" zoomScale="80" zoomScaleNormal="100" zoomScaleSheetLayoutView="80" workbookViewId="0">
      <selection activeCell="P13" sqref="P13"/>
    </sheetView>
  </sheetViews>
  <sheetFormatPr defaultRowHeight="18.75"/>
  <cols>
    <col min="1" max="1" width="6.85546875" style="21" customWidth="1"/>
    <col min="2" max="2" width="54.85546875" style="21" customWidth="1"/>
    <col min="3" max="3" width="12" style="30" customWidth="1"/>
    <col min="4" max="4" width="16.140625" style="122" customWidth="1"/>
    <col min="5" max="5" width="16.7109375" style="122" customWidth="1"/>
    <col min="6" max="6" width="16.140625" style="122" customWidth="1"/>
    <col min="7" max="7" width="16.140625" style="21" customWidth="1"/>
    <col min="8" max="8" width="17.5703125" style="21" customWidth="1"/>
    <col min="9" max="9" width="9.140625" style="21"/>
    <col min="10" max="10" width="13.140625" style="21" customWidth="1"/>
    <col min="11" max="16384" width="9.140625" style="21"/>
  </cols>
  <sheetData>
    <row r="2" spans="1:8" ht="20.25">
      <c r="B2" s="224" t="s">
        <v>111</v>
      </c>
      <c r="C2" s="224"/>
      <c r="D2" s="224"/>
      <c r="E2" s="224"/>
      <c r="F2" s="224"/>
    </row>
    <row r="3" spans="1:8">
      <c r="B3" s="22"/>
      <c r="C3" s="23"/>
      <c r="D3" s="178"/>
      <c r="E3" s="178"/>
      <c r="F3" s="178"/>
      <c r="H3" s="21" t="s">
        <v>72</v>
      </c>
    </row>
    <row r="4" spans="1:8" ht="63" customHeight="1">
      <c r="A4" s="24" t="s">
        <v>85</v>
      </c>
      <c r="B4" s="25" t="s">
        <v>23</v>
      </c>
      <c r="C4" s="26" t="s">
        <v>5</v>
      </c>
      <c r="D4" s="35" t="s">
        <v>291</v>
      </c>
      <c r="E4" s="35" t="s">
        <v>316</v>
      </c>
      <c r="F4" s="35" t="s">
        <v>317</v>
      </c>
      <c r="G4" s="2" t="s">
        <v>119</v>
      </c>
      <c r="H4" s="2" t="s">
        <v>121</v>
      </c>
    </row>
    <row r="5" spans="1:8" ht="22.5" customHeight="1">
      <c r="A5" s="27">
        <v>1</v>
      </c>
      <c r="B5" s="28">
        <v>2</v>
      </c>
      <c r="C5" s="2">
        <v>3</v>
      </c>
      <c r="D5" s="121">
        <v>4</v>
      </c>
      <c r="E5" s="121">
        <v>5</v>
      </c>
      <c r="F5" s="121">
        <v>6</v>
      </c>
      <c r="G5" s="27">
        <v>7</v>
      </c>
      <c r="H5" s="27">
        <v>8</v>
      </c>
    </row>
    <row r="6" spans="1:8" ht="30.75" customHeight="1">
      <c r="A6" s="258" t="s">
        <v>84</v>
      </c>
      <c r="B6" s="259"/>
      <c r="C6" s="260"/>
      <c r="D6" s="261">
        <f>D7+D11+D23+D21</f>
        <v>16306.4</v>
      </c>
      <c r="E6" s="261">
        <f>E7+E11+E23+E21</f>
        <v>14376.9</v>
      </c>
      <c r="F6" s="261">
        <f>F7+F11+F23+F21</f>
        <v>15274.4</v>
      </c>
      <c r="G6" s="262">
        <f t="shared" ref="G6:G8" si="0">F6-E6</f>
        <v>897.5</v>
      </c>
      <c r="H6" s="263">
        <f t="shared" ref="H6:H8" si="1">(F6/E6)*100</f>
        <v>106.24265314497563</v>
      </c>
    </row>
    <row r="7" spans="1:8" ht="53.25" customHeight="1">
      <c r="A7" s="264" t="s">
        <v>83</v>
      </c>
      <c r="B7" s="265"/>
      <c r="C7" s="266">
        <v>1000</v>
      </c>
      <c r="D7" s="193">
        <f>D8+D9+D10</f>
        <v>12403.5</v>
      </c>
      <c r="E7" s="193">
        <f>E8+E9</f>
        <v>10913.199999999999</v>
      </c>
      <c r="F7" s="193">
        <f>F8+F9+F10</f>
        <v>11797.3</v>
      </c>
      <c r="G7" s="262">
        <f t="shared" si="0"/>
        <v>884.10000000000036</v>
      </c>
      <c r="H7" s="263">
        <f t="shared" si="1"/>
        <v>108.10119854854672</v>
      </c>
    </row>
    <row r="8" spans="1:8" ht="42" customHeight="1">
      <c r="A8" s="267">
        <v>1</v>
      </c>
      <c r="B8" s="42" t="s">
        <v>138</v>
      </c>
      <c r="C8" s="260"/>
      <c r="D8" s="194">
        <v>12208.7</v>
      </c>
      <c r="E8" s="194">
        <v>10783.8</v>
      </c>
      <c r="F8" s="194">
        <v>11674.5</v>
      </c>
      <c r="G8" s="268">
        <f t="shared" si="0"/>
        <v>890.70000000000073</v>
      </c>
      <c r="H8" s="269">
        <f t="shared" si="1"/>
        <v>108.25961163968176</v>
      </c>
    </row>
    <row r="9" spans="1:8" ht="27.75" customHeight="1">
      <c r="A9" s="270">
        <v>2</v>
      </c>
      <c r="B9" s="42" t="s">
        <v>242</v>
      </c>
      <c r="C9" s="260"/>
      <c r="D9" s="194">
        <v>194.8</v>
      </c>
      <c r="E9" s="194">
        <v>129.4</v>
      </c>
      <c r="F9" s="194">
        <v>122.8</v>
      </c>
      <c r="G9" s="268">
        <f t="shared" ref="G9:G25" si="2">F9-E9</f>
        <v>-6.6000000000000085</v>
      </c>
      <c r="H9" s="271">
        <f t="shared" ref="H9:H25" si="3">(F9/E9)*100</f>
        <v>94.899536321483765</v>
      </c>
    </row>
    <row r="10" spans="1:8" ht="37.5" hidden="1" customHeight="1">
      <c r="A10" s="270">
        <v>3</v>
      </c>
      <c r="B10" s="42" t="s">
        <v>254</v>
      </c>
      <c r="C10" s="260"/>
      <c r="D10" s="194"/>
      <c r="E10" s="193"/>
      <c r="F10" s="194"/>
      <c r="G10" s="268">
        <f t="shared" si="2"/>
        <v>0</v>
      </c>
      <c r="H10" s="272" t="e">
        <f t="shared" si="3"/>
        <v>#DIV/0!</v>
      </c>
    </row>
    <row r="11" spans="1:8" ht="30.75" customHeight="1">
      <c r="A11" s="273" t="s">
        <v>43</v>
      </c>
      <c r="B11" s="274"/>
      <c r="C11" s="266">
        <v>1042</v>
      </c>
      <c r="D11" s="193">
        <f>SUM(D12:D20)</f>
        <v>3486.3999999999996</v>
      </c>
      <c r="E11" s="193">
        <f>SUM(E12:E20)</f>
        <v>3087.1</v>
      </c>
      <c r="F11" s="193">
        <f>SUM(F12:F20)</f>
        <v>3006</v>
      </c>
      <c r="G11" s="262">
        <f t="shared" si="2"/>
        <v>-81.099999999999909</v>
      </c>
      <c r="H11" s="263">
        <f t="shared" si="3"/>
        <v>97.372939004243463</v>
      </c>
    </row>
    <row r="12" spans="1:8" ht="79.5" customHeight="1">
      <c r="A12" s="267">
        <v>1</v>
      </c>
      <c r="B12" s="36" t="s">
        <v>139</v>
      </c>
      <c r="C12" s="260"/>
      <c r="D12" s="194">
        <v>0.7</v>
      </c>
      <c r="E12" s="194">
        <v>0.2</v>
      </c>
      <c r="F12" s="194">
        <v>0.8</v>
      </c>
      <c r="G12" s="268">
        <f t="shared" si="2"/>
        <v>0.60000000000000009</v>
      </c>
      <c r="H12" s="271">
        <f t="shared" si="3"/>
        <v>400</v>
      </c>
    </row>
    <row r="13" spans="1:8" ht="40.5" customHeight="1">
      <c r="A13" s="267">
        <v>2</v>
      </c>
      <c r="B13" s="42" t="s">
        <v>140</v>
      </c>
      <c r="C13" s="260"/>
      <c r="D13" s="194">
        <v>1091.3</v>
      </c>
      <c r="E13" s="194">
        <v>1710.2</v>
      </c>
      <c r="F13" s="194">
        <v>1627.8</v>
      </c>
      <c r="G13" s="275">
        <f t="shared" si="2"/>
        <v>-82.400000000000091</v>
      </c>
      <c r="H13" s="271">
        <f t="shared" si="3"/>
        <v>95.181850076014499</v>
      </c>
    </row>
    <row r="14" spans="1:8" ht="40.5" customHeight="1">
      <c r="A14" s="267">
        <v>3</v>
      </c>
      <c r="B14" s="42" t="s">
        <v>274</v>
      </c>
      <c r="C14" s="260"/>
      <c r="D14" s="194">
        <v>271.8</v>
      </c>
      <c r="E14" s="194"/>
      <c r="F14" s="194">
        <v>276.39999999999998</v>
      </c>
      <c r="G14" s="275">
        <f t="shared" si="2"/>
        <v>276.39999999999998</v>
      </c>
      <c r="H14" s="272" t="e">
        <f t="shared" si="3"/>
        <v>#DIV/0!</v>
      </c>
    </row>
    <row r="15" spans="1:8" ht="66" customHeight="1">
      <c r="A15" s="267">
        <v>4</v>
      </c>
      <c r="B15" s="42" t="s">
        <v>255</v>
      </c>
      <c r="C15" s="260"/>
      <c r="D15" s="194">
        <v>1012.8</v>
      </c>
      <c r="E15" s="194">
        <v>1280</v>
      </c>
      <c r="F15" s="194">
        <v>599.79999999999995</v>
      </c>
      <c r="G15" s="275">
        <f t="shared" si="2"/>
        <v>-680.2</v>
      </c>
      <c r="H15" s="271">
        <f t="shared" si="3"/>
        <v>46.859375</v>
      </c>
    </row>
    <row r="16" spans="1:8" ht="44.25" customHeight="1">
      <c r="A16" s="267">
        <v>5</v>
      </c>
      <c r="B16" s="186" t="s">
        <v>141</v>
      </c>
      <c r="C16" s="260"/>
      <c r="D16" s="194">
        <v>1052.5</v>
      </c>
      <c r="E16" s="194"/>
      <c r="F16" s="194">
        <v>426</v>
      </c>
      <c r="G16" s="275">
        <f t="shared" si="2"/>
        <v>426</v>
      </c>
      <c r="H16" s="272" t="e">
        <f t="shared" si="3"/>
        <v>#DIV/0!</v>
      </c>
    </row>
    <row r="17" spans="1:8" ht="39.75" customHeight="1">
      <c r="A17" s="267">
        <v>6</v>
      </c>
      <c r="B17" s="42" t="s">
        <v>142</v>
      </c>
      <c r="C17" s="260"/>
      <c r="D17" s="194">
        <v>57</v>
      </c>
      <c r="E17" s="194">
        <v>96.7</v>
      </c>
      <c r="F17" s="194">
        <v>75.2</v>
      </c>
      <c r="G17" s="275">
        <f t="shared" si="2"/>
        <v>-21.5</v>
      </c>
      <c r="H17" s="271">
        <f t="shared" si="3"/>
        <v>77.766287487073427</v>
      </c>
    </row>
    <row r="18" spans="1:8" ht="39.75" customHeight="1">
      <c r="A18" s="267">
        <v>7</v>
      </c>
      <c r="B18" s="42" t="s">
        <v>144</v>
      </c>
      <c r="C18" s="260"/>
      <c r="D18" s="194">
        <v>0.2</v>
      </c>
      <c r="E18" s="194"/>
      <c r="F18" s="194"/>
      <c r="G18" s="275">
        <f t="shared" si="2"/>
        <v>0</v>
      </c>
      <c r="H18" s="272" t="e">
        <f t="shared" si="3"/>
        <v>#DIV/0!</v>
      </c>
    </row>
    <row r="19" spans="1:8" ht="30.75" customHeight="1">
      <c r="A19" s="267">
        <v>8</v>
      </c>
      <c r="B19" s="186" t="s">
        <v>143</v>
      </c>
      <c r="C19" s="260"/>
      <c r="D19" s="194">
        <v>0.1</v>
      </c>
      <c r="E19" s="194"/>
      <c r="F19" s="194"/>
      <c r="G19" s="268">
        <f t="shared" si="2"/>
        <v>0</v>
      </c>
      <c r="H19" s="272" t="e">
        <f t="shared" si="3"/>
        <v>#DIV/0!</v>
      </c>
    </row>
    <row r="20" spans="1:8" ht="44.25" hidden="1" customHeight="1">
      <c r="A20" s="267">
        <v>8</v>
      </c>
      <c r="B20" s="42" t="s">
        <v>144</v>
      </c>
      <c r="C20" s="260"/>
      <c r="D20" s="194"/>
      <c r="E20" s="194"/>
      <c r="F20" s="194"/>
      <c r="G20" s="268">
        <f t="shared" si="2"/>
        <v>0</v>
      </c>
      <c r="H20" s="269" t="e">
        <f t="shared" si="3"/>
        <v>#DIV/0!</v>
      </c>
    </row>
    <row r="21" spans="1:8" ht="35.25" customHeight="1">
      <c r="A21" s="273" t="s">
        <v>86</v>
      </c>
      <c r="B21" s="276"/>
      <c r="C21" s="266">
        <v>1130</v>
      </c>
      <c r="D21" s="193">
        <f>D22</f>
        <v>281</v>
      </c>
      <c r="E21" s="193">
        <f>E22</f>
        <v>230</v>
      </c>
      <c r="F21" s="193">
        <f>F22</f>
        <v>318.5</v>
      </c>
      <c r="G21" s="262">
        <f t="shared" si="2"/>
        <v>88.5</v>
      </c>
      <c r="H21" s="263">
        <f t="shared" si="3"/>
        <v>138.47826086956522</v>
      </c>
    </row>
    <row r="22" spans="1:8" ht="39" customHeight="1">
      <c r="A22" s="277">
        <v>1</v>
      </c>
      <c r="B22" s="42" t="s">
        <v>235</v>
      </c>
      <c r="C22" s="260"/>
      <c r="D22" s="194">
        <v>281</v>
      </c>
      <c r="E22" s="194">
        <v>230</v>
      </c>
      <c r="F22" s="194">
        <v>318.5</v>
      </c>
      <c r="G22" s="268">
        <f t="shared" si="2"/>
        <v>88.5</v>
      </c>
      <c r="H22" s="269">
        <f t="shared" si="3"/>
        <v>138.47826086956522</v>
      </c>
    </row>
    <row r="23" spans="1:8" s="29" customFormat="1" ht="39" customHeight="1">
      <c r="A23" s="273" t="s">
        <v>27</v>
      </c>
      <c r="B23" s="276"/>
      <c r="C23" s="266">
        <v>1150</v>
      </c>
      <c r="D23" s="193">
        <f>D24+D25+D26</f>
        <v>135.5</v>
      </c>
      <c r="E23" s="193">
        <f>E24+E25</f>
        <v>146.6</v>
      </c>
      <c r="F23" s="193">
        <f>F24+F25+F26</f>
        <v>152.6</v>
      </c>
      <c r="G23" s="193">
        <f t="shared" ref="G23" si="4">G24+G25</f>
        <v>6</v>
      </c>
      <c r="H23" s="193">
        <f t="shared" si="3"/>
        <v>104.09276944065485</v>
      </c>
    </row>
    <row r="24" spans="1:8" s="29" customFormat="1" ht="39" customHeight="1">
      <c r="A24" s="267">
        <v>1</v>
      </c>
      <c r="B24" s="278" t="s">
        <v>145</v>
      </c>
      <c r="C24" s="266"/>
      <c r="D24" s="194">
        <v>124.3</v>
      </c>
      <c r="E24" s="194">
        <v>121.6</v>
      </c>
      <c r="F24" s="194">
        <v>117.1</v>
      </c>
      <c r="G24" s="268">
        <f t="shared" si="2"/>
        <v>-4.5</v>
      </c>
      <c r="H24" s="269">
        <f t="shared" si="3"/>
        <v>96.29934210526315</v>
      </c>
    </row>
    <row r="25" spans="1:8" s="29" customFormat="1" ht="37.5" customHeight="1">
      <c r="A25" s="267">
        <v>2</v>
      </c>
      <c r="B25" s="278" t="s">
        <v>146</v>
      </c>
      <c r="C25" s="266"/>
      <c r="D25" s="194">
        <v>11</v>
      </c>
      <c r="E25" s="194">
        <v>25</v>
      </c>
      <c r="F25" s="194">
        <v>35.5</v>
      </c>
      <c r="G25" s="268">
        <f t="shared" si="2"/>
        <v>10.5</v>
      </c>
      <c r="H25" s="271">
        <f t="shared" si="3"/>
        <v>142</v>
      </c>
    </row>
    <row r="26" spans="1:8" s="29" customFormat="1" ht="37.5" customHeight="1">
      <c r="A26" s="267">
        <v>3</v>
      </c>
      <c r="B26" s="42" t="s">
        <v>297</v>
      </c>
      <c r="C26" s="266"/>
      <c r="D26" s="194">
        <v>0.2</v>
      </c>
      <c r="E26" s="194"/>
      <c r="F26" s="194"/>
      <c r="G26" s="268">
        <f t="shared" ref="G26" si="5">F26-E26</f>
        <v>0</v>
      </c>
      <c r="H26" s="272" t="e">
        <f t="shared" ref="H26" si="6">(F26/E26)*100</f>
        <v>#DIV/0!</v>
      </c>
    </row>
    <row r="27" spans="1:8" s="29" customFormat="1" ht="29.25" customHeight="1">
      <c r="A27" s="258" t="s">
        <v>87</v>
      </c>
      <c r="B27" s="259"/>
      <c r="C27" s="266"/>
      <c r="D27" s="193"/>
      <c r="E27" s="193"/>
      <c r="F27" s="193"/>
      <c r="G27" s="262"/>
      <c r="H27" s="262"/>
    </row>
    <row r="28" spans="1:8" s="29" customFormat="1" ht="42.75" customHeight="1">
      <c r="A28" s="264" t="s">
        <v>245</v>
      </c>
      <c r="B28" s="265"/>
      <c r="C28" s="266"/>
      <c r="D28" s="193"/>
      <c r="E28" s="193"/>
      <c r="F28" s="193"/>
      <c r="G28" s="262"/>
      <c r="H28" s="262"/>
    </row>
    <row r="29" spans="1:8" s="29" customFormat="1" ht="32.25" customHeight="1">
      <c r="A29" s="279" t="s">
        <v>246</v>
      </c>
      <c r="B29" s="280"/>
      <c r="C29" s="266">
        <v>1011</v>
      </c>
      <c r="D29" s="193">
        <f>SUM(D30:D52)</f>
        <v>2685.7000000000003</v>
      </c>
      <c r="E29" s="193">
        <f>SUM(E30:E52)</f>
        <v>2025.8999999999999</v>
      </c>
      <c r="F29" s="193">
        <f>SUM(F30:F52)</f>
        <v>2553.6999999999998</v>
      </c>
      <c r="G29" s="262">
        <f t="shared" ref="G29" si="7">F29-E29</f>
        <v>527.79999999999995</v>
      </c>
      <c r="H29" s="263">
        <f t="shared" ref="H29" si="8">(F29/E29)*100</f>
        <v>126.05261858926897</v>
      </c>
    </row>
    <row r="30" spans="1:8" s="29" customFormat="1" ht="23.25" customHeight="1">
      <c r="A30" s="39"/>
      <c r="B30" s="39" t="s">
        <v>209</v>
      </c>
      <c r="C30" s="266"/>
      <c r="D30" s="194">
        <f>11.8+1.1+979.7</f>
        <v>992.6</v>
      </c>
      <c r="E30" s="194">
        <f>'Розшифровка 2 до формування'!E10</f>
        <v>7.5</v>
      </c>
      <c r="F30" s="194">
        <f>9.6+0.5+406.7</f>
        <v>416.8</v>
      </c>
      <c r="G30" s="268">
        <f t="shared" ref="G30" si="9">F30-E30</f>
        <v>409.3</v>
      </c>
      <c r="H30" s="269">
        <f>(F30/E30)*100</f>
        <v>5557.3333333333339</v>
      </c>
    </row>
    <row r="31" spans="1:8" s="29" customFormat="1" ht="27" customHeight="1">
      <c r="A31" s="39"/>
      <c r="B31" s="39" t="s">
        <v>182</v>
      </c>
      <c r="C31" s="266"/>
      <c r="D31" s="194">
        <f>24.3</f>
        <v>24.3</v>
      </c>
      <c r="E31" s="194">
        <f>'Розшифровка 2 до формування'!E140</f>
        <v>60</v>
      </c>
      <c r="F31" s="194">
        <v>40.200000000000003</v>
      </c>
      <c r="G31" s="268">
        <f t="shared" ref="G31:G94" si="10">F31-E31</f>
        <v>-19.799999999999997</v>
      </c>
      <c r="H31" s="269">
        <f t="shared" ref="H31:H94" si="11">(F31/E31)*100</f>
        <v>67</v>
      </c>
    </row>
    <row r="32" spans="1:8" s="29" customFormat="1" ht="22.5" customHeight="1">
      <c r="A32" s="39"/>
      <c r="B32" s="39" t="s">
        <v>148</v>
      </c>
      <c r="C32" s="266"/>
      <c r="D32" s="194">
        <f>22.8+16.1</f>
        <v>38.900000000000006</v>
      </c>
      <c r="E32" s="194">
        <f>'Розшифровка 2 до формування'!E11+'Розшифровка 2 до формування'!E99</f>
        <v>15</v>
      </c>
      <c r="F32" s="194">
        <v>18.399999999999999</v>
      </c>
      <c r="G32" s="268">
        <f t="shared" si="10"/>
        <v>3.3999999999999986</v>
      </c>
      <c r="H32" s="269">
        <f t="shared" si="11"/>
        <v>122.66666666666666</v>
      </c>
    </row>
    <row r="33" spans="1:8" s="29" customFormat="1" ht="22.5" customHeight="1">
      <c r="A33" s="39"/>
      <c r="B33" s="39" t="s">
        <v>236</v>
      </c>
      <c r="C33" s="266"/>
      <c r="D33" s="194">
        <v>12.2</v>
      </c>
      <c r="E33" s="194">
        <f>'Розшифровка 2 до формування'!E12</f>
        <v>13</v>
      </c>
      <c r="F33" s="194">
        <v>5</v>
      </c>
      <c r="G33" s="268">
        <f t="shared" si="10"/>
        <v>-8</v>
      </c>
      <c r="H33" s="269">
        <f t="shared" si="11"/>
        <v>38.461538461538467</v>
      </c>
    </row>
    <row r="34" spans="1:8" s="29" customFormat="1" ht="36.75" customHeight="1">
      <c r="A34" s="281"/>
      <c r="B34" s="39" t="s">
        <v>260</v>
      </c>
      <c r="C34" s="266"/>
      <c r="D34" s="194">
        <v>196.7</v>
      </c>
      <c r="E34" s="194">
        <f>'Розшифровка 2 до формування'!E138</f>
        <v>220</v>
      </c>
      <c r="F34" s="194">
        <v>159.9</v>
      </c>
      <c r="G34" s="268">
        <f t="shared" si="10"/>
        <v>-60.099999999999994</v>
      </c>
      <c r="H34" s="269">
        <f t="shared" si="11"/>
        <v>72.681818181818187</v>
      </c>
    </row>
    <row r="35" spans="1:8" s="29" customFormat="1" ht="38.25" customHeight="1">
      <c r="A35" s="281"/>
      <c r="B35" s="281" t="s">
        <v>237</v>
      </c>
      <c r="C35" s="266"/>
      <c r="D35" s="194">
        <f>236.7+0.9+35.8+51.1</f>
        <v>324.5</v>
      </c>
      <c r="E35" s="194">
        <f>'Розшифровка 2 до формування'!E13+'Розшифровка 2 до формування'!E100+'Розшифровка 2 до формування'!E137+'Розшифровка 2 до формування'!E151</f>
        <v>300</v>
      </c>
      <c r="F35" s="194">
        <f>386.7+0.1+38.3+7.6</f>
        <v>432.70000000000005</v>
      </c>
      <c r="G35" s="268">
        <f t="shared" si="10"/>
        <v>132.70000000000005</v>
      </c>
      <c r="H35" s="269">
        <f t="shared" si="11"/>
        <v>144.23333333333335</v>
      </c>
    </row>
    <row r="36" spans="1:8" s="29" customFormat="1" ht="22.5" customHeight="1">
      <c r="A36" s="281"/>
      <c r="B36" s="281" t="s">
        <v>149</v>
      </c>
      <c r="C36" s="266"/>
      <c r="D36" s="194">
        <f>48.3+2.8</f>
        <v>51.099999999999994</v>
      </c>
      <c r="E36" s="194"/>
      <c r="F36" s="194">
        <f>19.3+8+4.9+10.9</f>
        <v>43.1</v>
      </c>
      <c r="G36" s="268">
        <f t="shared" si="10"/>
        <v>43.1</v>
      </c>
      <c r="H36" s="272" t="e">
        <f t="shared" si="11"/>
        <v>#DIV/0!</v>
      </c>
    </row>
    <row r="37" spans="1:8" ht="22.5" customHeight="1">
      <c r="A37" s="281"/>
      <c r="B37" s="282" t="s">
        <v>150</v>
      </c>
      <c r="C37" s="266"/>
      <c r="D37" s="194">
        <v>26.4</v>
      </c>
      <c r="E37" s="194">
        <f>'Розшифровка 2 до формування'!E15</f>
        <v>20</v>
      </c>
      <c r="F37" s="194">
        <v>24</v>
      </c>
      <c r="G37" s="268">
        <f t="shared" si="10"/>
        <v>4</v>
      </c>
      <c r="H37" s="269">
        <f t="shared" si="11"/>
        <v>120</v>
      </c>
    </row>
    <row r="38" spans="1:8" ht="21" customHeight="1">
      <c r="A38" s="281"/>
      <c r="B38" s="282" t="s">
        <v>151</v>
      </c>
      <c r="C38" s="266"/>
      <c r="D38" s="194">
        <v>2.5</v>
      </c>
      <c r="E38" s="194">
        <f>'Розшифровка 2 до формування'!E16</f>
        <v>3</v>
      </c>
      <c r="F38" s="194">
        <v>3.9</v>
      </c>
      <c r="G38" s="268">
        <f t="shared" si="10"/>
        <v>0.89999999999999991</v>
      </c>
      <c r="H38" s="269">
        <f t="shared" si="11"/>
        <v>130</v>
      </c>
    </row>
    <row r="39" spans="1:8" ht="21.75" customHeight="1">
      <c r="A39" s="281"/>
      <c r="B39" s="282" t="s">
        <v>152</v>
      </c>
      <c r="C39" s="266"/>
      <c r="D39" s="194">
        <v>15.6</v>
      </c>
      <c r="E39" s="194">
        <f>'Розшифровка 2 до формування'!E17</f>
        <v>18</v>
      </c>
      <c r="F39" s="194">
        <v>24.9</v>
      </c>
      <c r="G39" s="268">
        <f t="shared" si="10"/>
        <v>6.8999999999999986</v>
      </c>
      <c r="H39" s="269">
        <f t="shared" si="11"/>
        <v>138.33333333333334</v>
      </c>
    </row>
    <row r="40" spans="1:8" ht="21" customHeight="1">
      <c r="A40" s="281"/>
      <c r="B40" s="282" t="s">
        <v>153</v>
      </c>
      <c r="C40" s="266"/>
      <c r="D40" s="194">
        <v>60.9</v>
      </c>
      <c r="E40" s="194">
        <f>'Розшифровка 2 до формування'!E18</f>
        <v>55</v>
      </c>
      <c r="F40" s="194">
        <v>51.3</v>
      </c>
      <c r="G40" s="268">
        <f t="shared" si="10"/>
        <v>-3.7000000000000028</v>
      </c>
      <c r="H40" s="269">
        <f t="shared" si="11"/>
        <v>93.272727272727266</v>
      </c>
    </row>
    <row r="41" spans="1:8" ht="23.25" customHeight="1">
      <c r="A41" s="281"/>
      <c r="B41" s="282" t="s">
        <v>154</v>
      </c>
      <c r="C41" s="266"/>
      <c r="D41" s="194">
        <v>0.6</v>
      </c>
      <c r="E41" s="194">
        <f>'Розшифровка 2 до формування'!E23</f>
        <v>1</v>
      </c>
      <c r="F41" s="194">
        <v>0.8</v>
      </c>
      <c r="G41" s="268">
        <f t="shared" si="10"/>
        <v>-0.19999999999999996</v>
      </c>
      <c r="H41" s="269">
        <f t="shared" si="11"/>
        <v>80</v>
      </c>
    </row>
    <row r="42" spans="1:8" ht="22.5" customHeight="1">
      <c r="A42" s="281"/>
      <c r="B42" s="282" t="s">
        <v>280</v>
      </c>
      <c r="C42" s="266"/>
      <c r="D42" s="194"/>
      <c r="E42" s="194">
        <f>'Розшифровка 2 до формування'!E19</f>
        <v>2</v>
      </c>
      <c r="F42" s="194"/>
      <c r="G42" s="268">
        <f t="shared" si="10"/>
        <v>-2</v>
      </c>
      <c r="H42" s="269">
        <f t="shared" si="11"/>
        <v>0</v>
      </c>
    </row>
    <row r="43" spans="1:8" ht="37.5">
      <c r="A43" s="281"/>
      <c r="B43" s="186" t="s">
        <v>155</v>
      </c>
      <c r="C43" s="266"/>
      <c r="D43" s="194">
        <f>19.5+0.6</f>
        <v>20.100000000000001</v>
      </c>
      <c r="E43" s="194">
        <f>'Розшифровка 2 до формування'!E20</f>
        <v>10</v>
      </c>
      <c r="F43" s="194">
        <f>27.6+0.8</f>
        <v>28.400000000000002</v>
      </c>
      <c r="G43" s="268">
        <f t="shared" si="10"/>
        <v>18.400000000000002</v>
      </c>
      <c r="H43" s="269">
        <f t="shared" si="11"/>
        <v>284.00000000000006</v>
      </c>
    </row>
    <row r="44" spans="1:8" ht="25.5" customHeight="1">
      <c r="A44" s="281"/>
      <c r="B44" s="186" t="s">
        <v>156</v>
      </c>
      <c r="C44" s="266"/>
      <c r="D44" s="194">
        <v>8.8000000000000007</v>
      </c>
      <c r="E44" s="194">
        <f>'Розшифровка 2 до формування'!E21</f>
        <v>13</v>
      </c>
      <c r="F44" s="194">
        <v>13.6</v>
      </c>
      <c r="G44" s="268">
        <f t="shared" si="10"/>
        <v>0.59999999999999964</v>
      </c>
      <c r="H44" s="269">
        <f t="shared" si="11"/>
        <v>104.61538461538463</v>
      </c>
    </row>
    <row r="45" spans="1:8" ht="25.5" customHeight="1">
      <c r="A45" s="281"/>
      <c r="B45" s="186" t="s">
        <v>238</v>
      </c>
      <c r="C45" s="266"/>
      <c r="D45" s="194"/>
      <c r="E45" s="194">
        <f>'Розшифровка 2 до формування'!E22</f>
        <v>10</v>
      </c>
      <c r="F45" s="194"/>
      <c r="G45" s="268">
        <f t="shared" si="10"/>
        <v>-10</v>
      </c>
      <c r="H45" s="269">
        <f t="shared" si="11"/>
        <v>0</v>
      </c>
    </row>
    <row r="46" spans="1:8" ht="24.75" customHeight="1">
      <c r="A46" s="281"/>
      <c r="B46" s="283" t="s">
        <v>157</v>
      </c>
      <c r="C46" s="266"/>
      <c r="D46" s="194">
        <f>504.8+7.1</f>
        <v>511.90000000000003</v>
      </c>
      <c r="E46" s="194">
        <f>'Розшифровка 2 до формування'!E79+'Розшифровка 2 до формування'!E196</f>
        <v>577.29999999999995</v>
      </c>
      <c r="F46" s="194">
        <f>575.3+8.6</f>
        <v>583.9</v>
      </c>
      <c r="G46" s="268">
        <f t="shared" si="10"/>
        <v>6.6000000000000227</v>
      </c>
      <c r="H46" s="269">
        <f t="shared" si="11"/>
        <v>101.14325307465791</v>
      </c>
    </row>
    <row r="47" spans="1:8" ht="24.75" customHeight="1">
      <c r="A47" s="281"/>
      <c r="B47" s="283" t="s">
        <v>158</v>
      </c>
      <c r="C47" s="266"/>
      <c r="D47" s="194">
        <f>9.6+0.3</f>
        <v>9.9</v>
      </c>
      <c r="E47" s="194">
        <f>'Розшифровка 2 до формування'!E80+'Розшифровка 2 до формування'!E197</f>
        <v>15.799999999999999</v>
      </c>
      <c r="F47" s="194">
        <f>15.6+0.7</f>
        <v>16.3</v>
      </c>
      <c r="G47" s="268">
        <f t="shared" si="10"/>
        <v>0.50000000000000178</v>
      </c>
      <c r="H47" s="269">
        <f t="shared" si="11"/>
        <v>103.16455696202533</v>
      </c>
    </row>
    <row r="48" spans="1:8" ht="25.5" customHeight="1">
      <c r="A48" s="281"/>
      <c r="B48" s="283" t="s">
        <v>159</v>
      </c>
      <c r="C48" s="266"/>
      <c r="D48" s="194">
        <f>321.5+2.4</f>
        <v>323.89999999999998</v>
      </c>
      <c r="E48" s="194">
        <f>'Розшифровка 2 до формування'!E81+'Розшифровка 2 до формування'!E198</f>
        <v>618</v>
      </c>
      <c r="F48" s="194">
        <f>617+4.4</f>
        <v>621.4</v>
      </c>
      <c r="G48" s="268">
        <f t="shared" si="10"/>
        <v>3.3999999999999773</v>
      </c>
      <c r="H48" s="269">
        <f t="shared" si="11"/>
        <v>100.55016181229772</v>
      </c>
    </row>
    <row r="49" spans="1:8" ht="22.5" customHeight="1">
      <c r="A49" s="281"/>
      <c r="B49" s="186" t="s">
        <v>160</v>
      </c>
      <c r="C49" s="266"/>
      <c r="D49" s="194">
        <v>53.9</v>
      </c>
      <c r="E49" s="194">
        <f>'Розшифровка 2 до формування'!E82+'Розшифровка 2 до формування'!E199</f>
        <v>58.300000000000004</v>
      </c>
      <c r="F49" s="194">
        <v>58.2</v>
      </c>
      <c r="G49" s="268">
        <f t="shared" si="10"/>
        <v>-0.10000000000000142</v>
      </c>
      <c r="H49" s="269">
        <f t="shared" si="11"/>
        <v>99.828473413379072</v>
      </c>
    </row>
    <row r="50" spans="1:8" ht="23.25" customHeight="1">
      <c r="A50" s="281"/>
      <c r="B50" s="186" t="s">
        <v>321</v>
      </c>
      <c r="C50" s="266"/>
      <c r="D50" s="194"/>
      <c r="E50" s="194"/>
      <c r="F50" s="194">
        <v>0.4</v>
      </c>
      <c r="G50" s="268">
        <f t="shared" si="10"/>
        <v>0.4</v>
      </c>
      <c r="H50" s="272" t="e">
        <f t="shared" si="11"/>
        <v>#DIV/0!</v>
      </c>
    </row>
    <row r="51" spans="1:8" ht="24" customHeight="1">
      <c r="A51" s="281"/>
      <c r="B51" s="186" t="s">
        <v>161</v>
      </c>
      <c r="C51" s="266"/>
      <c r="D51" s="194">
        <f>10+0.1</f>
        <v>10.1</v>
      </c>
      <c r="E51" s="194">
        <f>'Розшифровка 2 до формування'!E83</f>
        <v>9</v>
      </c>
      <c r="F51" s="194">
        <f>9.1</f>
        <v>9.1</v>
      </c>
      <c r="G51" s="268">
        <f t="shared" si="10"/>
        <v>9.9999999999999645E-2</v>
      </c>
      <c r="H51" s="269">
        <f t="shared" si="11"/>
        <v>101.11111111111111</v>
      </c>
    </row>
    <row r="52" spans="1:8" ht="24.75" customHeight="1">
      <c r="A52" s="281"/>
      <c r="B52" s="42" t="s">
        <v>162</v>
      </c>
      <c r="C52" s="266"/>
      <c r="D52" s="194">
        <v>0.8</v>
      </c>
      <c r="E52" s="194"/>
      <c r="F52" s="194">
        <v>1.4</v>
      </c>
      <c r="G52" s="268">
        <f t="shared" si="10"/>
        <v>1.4</v>
      </c>
      <c r="H52" s="272" t="e">
        <f t="shared" si="11"/>
        <v>#DIV/0!</v>
      </c>
    </row>
    <row r="53" spans="1:8" ht="25.5" customHeight="1">
      <c r="A53" s="279" t="s">
        <v>88</v>
      </c>
      <c r="B53" s="280"/>
      <c r="C53" s="266">
        <v>1015</v>
      </c>
      <c r="D53" s="193">
        <f>SUM(D54:D70)</f>
        <v>133.79999999999998</v>
      </c>
      <c r="E53" s="193">
        <f>SUM(E54:E70)</f>
        <v>216.7</v>
      </c>
      <c r="F53" s="193">
        <f>SUM(F54:F70)</f>
        <v>228.00000000000003</v>
      </c>
      <c r="G53" s="262">
        <f t="shared" si="10"/>
        <v>11.30000000000004</v>
      </c>
      <c r="H53" s="269">
        <f t="shared" si="11"/>
        <v>105.21458237194278</v>
      </c>
    </row>
    <row r="54" spans="1:8" ht="37.5">
      <c r="A54" s="266"/>
      <c r="B54" s="281" t="s">
        <v>287</v>
      </c>
      <c r="C54" s="266"/>
      <c r="D54" s="194">
        <v>2.8</v>
      </c>
      <c r="E54" s="194">
        <v>2</v>
      </c>
      <c r="F54" s="194">
        <v>3</v>
      </c>
      <c r="G54" s="268">
        <f t="shared" si="10"/>
        <v>1</v>
      </c>
      <c r="H54" s="269">
        <f t="shared" si="11"/>
        <v>150</v>
      </c>
    </row>
    <row r="55" spans="1:8" ht="24.75" customHeight="1">
      <c r="A55" s="266"/>
      <c r="B55" s="282" t="s">
        <v>163</v>
      </c>
      <c r="C55" s="266"/>
      <c r="D55" s="194"/>
      <c r="E55" s="194">
        <v>2</v>
      </c>
      <c r="F55" s="194"/>
      <c r="G55" s="268">
        <f t="shared" si="10"/>
        <v>-2</v>
      </c>
      <c r="H55" s="269">
        <f t="shared" si="11"/>
        <v>0</v>
      </c>
    </row>
    <row r="56" spans="1:8" ht="37.5">
      <c r="A56" s="266"/>
      <c r="B56" s="186" t="s">
        <v>164</v>
      </c>
      <c r="C56" s="266"/>
      <c r="D56" s="194">
        <v>13.8</v>
      </c>
      <c r="E56" s="194">
        <v>20</v>
      </c>
      <c r="F56" s="194">
        <v>7.2</v>
      </c>
      <c r="G56" s="268">
        <f t="shared" si="10"/>
        <v>-12.8</v>
      </c>
      <c r="H56" s="269">
        <f t="shared" si="11"/>
        <v>36</v>
      </c>
    </row>
    <row r="57" spans="1:8" ht="25.5" customHeight="1">
      <c r="A57" s="266"/>
      <c r="B57" s="282" t="s">
        <v>165</v>
      </c>
      <c r="C57" s="266"/>
      <c r="D57" s="194"/>
      <c r="E57" s="194">
        <v>5</v>
      </c>
      <c r="F57" s="194"/>
      <c r="G57" s="268">
        <f t="shared" si="10"/>
        <v>-5</v>
      </c>
      <c r="H57" s="269">
        <f t="shared" si="11"/>
        <v>0</v>
      </c>
    </row>
    <row r="58" spans="1:8" ht="23.25" customHeight="1">
      <c r="A58" s="266"/>
      <c r="B58" s="282" t="s">
        <v>166</v>
      </c>
      <c r="C58" s="266"/>
      <c r="D58" s="194"/>
      <c r="E58" s="194">
        <v>20</v>
      </c>
      <c r="F58" s="194"/>
      <c r="G58" s="268">
        <f t="shared" si="10"/>
        <v>-20</v>
      </c>
      <c r="H58" s="269">
        <f t="shared" si="11"/>
        <v>0</v>
      </c>
    </row>
    <row r="59" spans="1:8" ht="24.75" customHeight="1">
      <c r="A59" s="266"/>
      <c r="B59" s="282" t="s">
        <v>167</v>
      </c>
      <c r="C59" s="266"/>
      <c r="D59" s="194">
        <v>4.5999999999999996</v>
      </c>
      <c r="E59" s="194">
        <v>5</v>
      </c>
      <c r="F59" s="194">
        <v>5.2</v>
      </c>
      <c r="G59" s="268">
        <f t="shared" si="10"/>
        <v>0.20000000000000018</v>
      </c>
      <c r="H59" s="269">
        <f t="shared" si="11"/>
        <v>104</v>
      </c>
    </row>
    <row r="60" spans="1:8" ht="21.75" customHeight="1">
      <c r="A60" s="266"/>
      <c r="B60" s="282" t="s">
        <v>168</v>
      </c>
      <c r="C60" s="266"/>
      <c r="D60" s="194">
        <v>20</v>
      </c>
      <c r="E60" s="194">
        <v>20</v>
      </c>
      <c r="F60" s="194">
        <v>30.3</v>
      </c>
      <c r="G60" s="268">
        <f t="shared" si="10"/>
        <v>10.3</v>
      </c>
      <c r="H60" s="269">
        <f t="shared" si="11"/>
        <v>151.5</v>
      </c>
    </row>
    <row r="61" spans="1:8" ht="23.25" customHeight="1">
      <c r="A61" s="266"/>
      <c r="B61" s="186" t="s">
        <v>169</v>
      </c>
      <c r="C61" s="266"/>
      <c r="D61" s="194">
        <f>34.8+2.8</f>
        <v>37.599999999999994</v>
      </c>
      <c r="E61" s="194">
        <v>46.7</v>
      </c>
      <c r="F61" s="194">
        <v>46.7</v>
      </c>
      <c r="G61" s="268">
        <f t="shared" si="10"/>
        <v>0</v>
      </c>
      <c r="H61" s="269">
        <f t="shared" si="11"/>
        <v>100</v>
      </c>
    </row>
    <row r="62" spans="1:8" ht="22.5" customHeight="1">
      <c r="A62" s="266"/>
      <c r="B62" s="186" t="s">
        <v>170</v>
      </c>
      <c r="C62" s="266"/>
      <c r="D62" s="194">
        <v>27.8</v>
      </c>
      <c r="E62" s="194">
        <v>20</v>
      </c>
      <c r="F62" s="194">
        <v>10.6</v>
      </c>
      <c r="G62" s="268">
        <f t="shared" si="10"/>
        <v>-9.4</v>
      </c>
      <c r="H62" s="269">
        <f t="shared" si="11"/>
        <v>53</v>
      </c>
    </row>
    <row r="63" spans="1:8" ht="22.5" customHeight="1">
      <c r="A63" s="266"/>
      <c r="B63" s="186" t="s">
        <v>171</v>
      </c>
      <c r="C63" s="266"/>
      <c r="D63" s="194">
        <v>1.6</v>
      </c>
      <c r="E63" s="194">
        <v>2</v>
      </c>
      <c r="F63" s="194">
        <v>4.2</v>
      </c>
      <c r="G63" s="268">
        <f t="shared" si="10"/>
        <v>2.2000000000000002</v>
      </c>
      <c r="H63" s="269">
        <f t="shared" si="11"/>
        <v>210</v>
      </c>
    </row>
    <row r="64" spans="1:8" ht="24.75" customHeight="1">
      <c r="A64" s="266"/>
      <c r="B64" s="282" t="s">
        <v>172</v>
      </c>
      <c r="C64" s="266"/>
      <c r="D64" s="194">
        <v>11.1</v>
      </c>
      <c r="E64" s="194">
        <v>15</v>
      </c>
      <c r="F64" s="194">
        <v>12.4</v>
      </c>
      <c r="G64" s="268">
        <f t="shared" si="10"/>
        <v>-2.5999999999999996</v>
      </c>
      <c r="H64" s="269">
        <f t="shared" si="11"/>
        <v>82.666666666666671</v>
      </c>
    </row>
    <row r="65" spans="1:8" ht="23.25" customHeight="1">
      <c r="A65" s="266"/>
      <c r="B65" s="282" t="s">
        <v>187</v>
      </c>
      <c r="C65" s="266"/>
      <c r="D65" s="194">
        <v>1.5</v>
      </c>
      <c r="E65" s="194">
        <v>5</v>
      </c>
      <c r="F65" s="194">
        <v>3.2</v>
      </c>
      <c r="G65" s="268">
        <f t="shared" si="10"/>
        <v>-1.7999999999999998</v>
      </c>
      <c r="H65" s="269">
        <f t="shared" si="11"/>
        <v>64</v>
      </c>
    </row>
    <row r="66" spans="1:8" ht="37.5">
      <c r="A66" s="266"/>
      <c r="B66" s="281" t="s">
        <v>173</v>
      </c>
      <c r="C66" s="260"/>
      <c r="D66" s="194">
        <v>6.5</v>
      </c>
      <c r="E66" s="194">
        <v>6</v>
      </c>
      <c r="F66" s="194">
        <v>16.3</v>
      </c>
      <c r="G66" s="268">
        <f t="shared" si="10"/>
        <v>10.3</v>
      </c>
      <c r="H66" s="269">
        <f t="shared" si="11"/>
        <v>271.66666666666669</v>
      </c>
    </row>
    <row r="67" spans="1:8">
      <c r="A67" s="266"/>
      <c r="B67" s="282" t="s">
        <v>174</v>
      </c>
      <c r="C67" s="260"/>
      <c r="D67" s="194">
        <v>3.9</v>
      </c>
      <c r="E67" s="194">
        <v>4</v>
      </c>
      <c r="F67" s="194">
        <v>5</v>
      </c>
      <c r="G67" s="268">
        <f t="shared" si="10"/>
        <v>1</v>
      </c>
      <c r="H67" s="269">
        <f t="shared" si="11"/>
        <v>125</v>
      </c>
    </row>
    <row r="68" spans="1:8" ht="24.75" customHeight="1">
      <c r="A68" s="266"/>
      <c r="B68" s="282" t="s">
        <v>321</v>
      </c>
      <c r="C68" s="260"/>
      <c r="D68" s="194"/>
      <c r="E68" s="194"/>
      <c r="F68" s="194">
        <v>45.2</v>
      </c>
      <c r="G68" s="268">
        <f t="shared" si="10"/>
        <v>45.2</v>
      </c>
      <c r="H68" s="272" t="e">
        <f t="shared" si="11"/>
        <v>#DIV/0!</v>
      </c>
    </row>
    <row r="69" spans="1:8" ht="24" customHeight="1">
      <c r="A69" s="266"/>
      <c r="B69" s="40" t="s">
        <v>243</v>
      </c>
      <c r="C69" s="260"/>
      <c r="D69" s="194">
        <v>2.6</v>
      </c>
      <c r="E69" s="194">
        <v>14</v>
      </c>
      <c r="F69" s="194">
        <v>2.8</v>
      </c>
      <c r="G69" s="268">
        <f t="shared" si="10"/>
        <v>-11.2</v>
      </c>
      <c r="H69" s="269">
        <f t="shared" si="11"/>
        <v>20</v>
      </c>
    </row>
    <row r="70" spans="1:8" ht="56.25">
      <c r="A70" s="266"/>
      <c r="B70" s="39" t="s">
        <v>264</v>
      </c>
      <c r="C70" s="260"/>
      <c r="D70" s="194"/>
      <c r="E70" s="194">
        <v>30</v>
      </c>
      <c r="F70" s="194">
        <v>35.9</v>
      </c>
      <c r="G70" s="268">
        <f t="shared" si="10"/>
        <v>5.8999999999999986</v>
      </c>
      <c r="H70" s="269">
        <f t="shared" si="11"/>
        <v>119.66666666666666</v>
      </c>
    </row>
    <row r="71" spans="1:8" ht="21.75" customHeight="1">
      <c r="A71" s="284" t="s">
        <v>89</v>
      </c>
      <c r="B71" s="284"/>
      <c r="C71" s="266"/>
      <c r="D71" s="193"/>
      <c r="E71" s="193"/>
      <c r="F71" s="193"/>
      <c r="G71" s="262">
        <f t="shared" si="10"/>
        <v>0</v>
      </c>
      <c r="H71" s="272" t="e">
        <f t="shared" si="11"/>
        <v>#DIV/0!</v>
      </c>
    </row>
    <row r="72" spans="1:8">
      <c r="A72" s="279" t="s">
        <v>147</v>
      </c>
      <c r="B72" s="280"/>
      <c r="C72" s="266">
        <v>1021</v>
      </c>
      <c r="D72" s="193">
        <f>SUM(D73:D74)</f>
        <v>49.4</v>
      </c>
      <c r="E72" s="193">
        <f t="shared" ref="E72" si="12">SUM(E73:E74)</f>
        <v>28</v>
      </c>
      <c r="F72" s="193">
        <f>SUM(F73:F75)</f>
        <v>34</v>
      </c>
      <c r="G72" s="262">
        <f t="shared" si="10"/>
        <v>6</v>
      </c>
      <c r="H72" s="262">
        <f t="shared" si="11"/>
        <v>121.42857142857142</v>
      </c>
    </row>
    <row r="73" spans="1:8" ht="22.5" customHeight="1">
      <c r="A73" s="285"/>
      <c r="B73" s="186" t="s">
        <v>175</v>
      </c>
      <c r="C73" s="260"/>
      <c r="D73" s="194">
        <v>29</v>
      </c>
      <c r="E73" s="194">
        <v>10</v>
      </c>
      <c r="F73" s="194">
        <v>8.1</v>
      </c>
      <c r="G73" s="268">
        <f t="shared" si="10"/>
        <v>-1.9000000000000004</v>
      </c>
      <c r="H73" s="269">
        <f t="shared" si="11"/>
        <v>81</v>
      </c>
    </row>
    <row r="74" spans="1:8" ht="23.25" customHeight="1">
      <c r="A74" s="266"/>
      <c r="B74" s="40" t="s">
        <v>153</v>
      </c>
      <c r="C74" s="266"/>
      <c r="D74" s="194">
        <v>20.399999999999999</v>
      </c>
      <c r="E74" s="194">
        <v>18</v>
      </c>
      <c r="F74" s="194">
        <v>15.8</v>
      </c>
      <c r="G74" s="268">
        <f t="shared" si="10"/>
        <v>-2.1999999999999993</v>
      </c>
      <c r="H74" s="269">
        <f t="shared" si="11"/>
        <v>87.777777777777771</v>
      </c>
    </row>
    <row r="75" spans="1:8" ht="21.75" customHeight="1">
      <c r="A75" s="266"/>
      <c r="B75" s="286" t="s">
        <v>280</v>
      </c>
      <c r="C75" s="266"/>
      <c r="D75" s="194"/>
      <c r="E75" s="194"/>
      <c r="F75" s="194">
        <v>10.1</v>
      </c>
      <c r="G75" s="268">
        <f t="shared" si="10"/>
        <v>10.1</v>
      </c>
      <c r="H75" s="272" t="e">
        <f t="shared" si="11"/>
        <v>#DIV/0!</v>
      </c>
    </row>
    <row r="76" spans="1:8">
      <c r="A76" s="279" t="s">
        <v>90</v>
      </c>
      <c r="B76" s="280"/>
      <c r="C76" s="266">
        <v>1025</v>
      </c>
      <c r="D76" s="193">
        <f>SUM(D77:D79)</f>
        <v>10.4</v>
      </c>
      <c r="E76" s="193">
        <f>SUM(E77:E79)</f>
        <v>10</v>
      </c>
      <c r="F76" s="193">
        <f>SUM(F77:F79)</f>
        <v>12.7</v>
      </c>
      <c r="G76" s="262">
        <f t="shared" si="10"/>
        <v>2.6999999999999993</v>
      </c>
      <c r="H76" s="263">
        <f t="shared" si="11"/>
        <v>127</v>
      </c>
    </row>
    <row r="77" spans="1:8" ht="24.75" customHeight="1">
      <c r="A77" s="266"/>
      <c r="B77" s="39" t="s">
        <v>322</v>
      </c>
      <c r="C77" s="266"/>
      <c r="D77" s="194"/>
      <c r="E77" s="194"/>
      <c r="F77" s="194">
        <v>2</v>
      </c>
      <c r="G77" s="268">
        <f t="shared" si="10"/>
        <v>2</v>
      </c>
      <c r="H77" s="287" t="e">
        <f t="shared" si="11"/>
        <v>#DIV/0!</v>
      </c>
    </row>
    <row r="78" spans="1:8" ht="24.75" customHeight="1">
      <c r="A78" s="266"/>
      <c r="B78" s="186" t="s">
        <v>177</v>
      </c>
      <c r="C78" s="266"/>
      <c r="D78" s="194">
        <v>10.4</v>
      </c>
      <c r="E78" s="194">
        <v>10</v>
      </c>
      <c r="F78" s="194">
        <v>7.7</v>
      </c>
      <c r="G78" s="268">
        <f t="shared" si="10"/>
        <v>-2.2999999999999998</v>
      </c>
      <c r="H78" s="269">
        <f t="shared" si="11"/>
        <v>77</v>
      </c>
    </row>
    <row r="79" spans="1:8" ht="39.75" customHeight="1">
      <c r="A79" s="40"/>
      <c r="B79" s="42" t="s">
        <v>176</v>
      </c>
      <c r="C79" s="260"/>
      <c r="D79" s="194"/>
      <c r="E79" s="194"/>
      <c r="F79" s="194">
        <v>3</v>
      </c>
      <c r="G79" s="268">
        <f t="shared" si="10"/>
        <v>3</v>
      </c>
      <c r="H79" s="287" t="e">
        <f t="shared" si="11"/>
        <v>#DIV/0!</v>
      </c>
    </row>
    <row r="80" spans="1:8" ht="26.25" customHeight="1">
      <c r="A80" s="264" t="s">
        <v>100</v>
      </c>
      <c r="B80" s="265"/>
      <c r="C80" s="266"/>
      <c r="D80" s="193"/>
      <c r="E80" s="193"/>
      <c r="F80" s="193"/>
      <c r="G80" s="268">
        <f t="shared" si="10"/>
        <v>0</v>
      </c>
      <c r="H80" s="272" t="e">
        <f t="shared" si="11"/>
        <v>#DIV/0!</v>
      </c>
    </row>
    <row r="81" spans="1:8" ht="25.5" customHeight="1">
      <c r="A81" s="279" t="s">
        <v>147</v>
      </c>
      <c r="B81" s="280"/>
      <c r="C81" s="266">
        <v>1031</v>
      </c>
      <c r="D81" s="193">
        <f>SUM(D82:D95)</f>
        <v>1081.5</v>
      </c>
      <c r="E81" s="193">
        <f>SUM(E82:E96)</f>
        <v>1132.3000000000002</v>
      </c>
      <c r="F81" s="193">
        <f>SUM(F82:F97)</f>
        <v>706.9</v>
      </c>
      <c r="G81" s="262">
        <f t="shared" si="10"/>
        <v>-425.4000000000002</v>
      </c>
      <c r="H81" s="288">
        <f t="shared" si="11"/>
        <v>62.430451293826714</v>
      </c>
    </row>
    <row r="82" spans="1:8" ht="78" customHeight="1">
      <c r="A82" s="289"/>
      <c r="B82" s="186" t="s">
        <v>181</v>
      </c>
      <c r="C82" s="266"/>
      <c r="D82" s="194">
        <v>246.2</v>
      </c>
      <c r="E82" s="194">
        <f>'Розшифровка 2 до формування'!E88</f>
        <v>82.4</v>
      </c>
      <c r="F82" s="194">
        <v>266.39999999999998</v>
      </c>
      <c r="G82" s="268">
        <f t="shared" si="10"/>
        <v>183.99999999999997</v>
      </c>
      <c r="H82" s="290">
        <f t="shared" si="11"/>
        <v>323.30097087378635</v>
      </c>
    </row>
    <row r="83" spans="1:8" ht="23.25" customHeight="1">
      <c r="A83" s="289"/>
      <c r="B83" s="186" t="s">
        <v>296</v>
      </c>
      <c r="C83" s="266"/>
      <c r="D83" s="194">
        <v>0.2</v>
      </c>
      <c r="E83" s="194">
        <f>'Розшифровка 2 до формування'!E61</f>
        <v>1</v>
      </c>
      <c r="F83" s="194"/>
      <c r="G83" s="268">
        <f t="shared" si="10"/>
        <v>-1</v>
      </c>
      <c r="H83" s="290">
        <f t="shared" si="11"/>
        <v>0</v>
      </c>
    </row>
    <row r="84" spans="1:8" ht="22.5" customHeight="1">
      <c r="A84" s="289"/>
      <c r="B84" s="186" t="s">
        <v>293</v>
      </c>
      <c r="C84" s="266"/>
      <c r="D84" s="194">
        <v>18.100000000000001</v>
      </c>
      <c r="E84" s="194"/>
      <c r="F84" s="194"/>
      <c r="G84" s="268">
        <f t="shared" si="10"/>
        <v>0</v>
      </c>
      <c r="H84" s="272" t="e">
        <f t="shared" si="11"/>
        <v>#DIV/0!</v>
      </c>
    </row>
    <row r="85" spans="1:8" ht="23.25" customHeight="1">
      <c r="A85" s="289"/>
      <c r="B85" s="186" t="s">
        <v>156</v>
      </c>
      <c r="C85" s="266"/>
      <c r="D85" s="194">
        <v>0.1</v>
      </c>
      <c r="E85" s="194"/>
      <c r="F85" s="194"/>
      <c r="G85" s="268">
        <f t="shared" si="10"/>
        <v>0</v>
      </c>
      <c r="H85" s="272" t="e">
        <f t="shared" si="11"/>
        <v>#DIV/0!</v>
      </c>
    </row>
    <row r="86" spans="1:8" ht="37.5">
      <c r="A86" s="289"/>
      <c r="B86" s="186" t="s">
        <v>237</v>
      </c>
      <c r="C86" s="266"/>
      <c r="D86" s="194">
        <v>0.2</v>
      </c>
      <c r="E86" s="194"/>
      <c r="F86" s="194"/>
      <c r="G86" s="268">
        <f t="shared" si="10"/>
        <v>0</v>
      </c>
      <c r="H86" s="272" t="e">
        <f t="shared" si="11"/>
        <v>#DIV/0!</v>
      </c>
    </row>
    <row r="87" spans="1:8" ht="22.5" customHeight="1">
      <c r="A87" s="289"/>
      <c r="B87" s="172" t="s">
        <v>182</v>
      </c>
      <c r="C87" s="266"/>
      <c r="D87" s="194">
        <v>755.9</v>
      </c>
      <c r="E87" s="194">
        <f>'Розшифровка 2 до формування'!E143</f>
        <v>950</v>
      </c>
      <c r="F87" s="194">
        <v>356.5</v>
      </c>
      <c r="G87" s="268">
        <f t="shared" si="10"/>
        <v>-593.5</v>
      </c>
      <c r="H87" s="290">
        <f t="shared" si="11"/>
        <v>37.526315789473685</v>
      </c>
    </row>
    <row r="88" spans="1:8" ht="21" customHeight="1">
      <c r="A88" s="289"/>
      <c r="B88" s="172" t="s">
        <v>219</v>
      </c>
      <c r="C88" s="266"/>
      <c r="D88" s="194">
        <v>0.5</v>
      </c>
      <c r="E88" s="194">
        <f>'Розшифровка 2 до формування'!E113</f>
        <v>0.2</v>
      </c>
      <c r="F88" s="194">
        <v>0.3</v>
      </c>
      <c r="G88" s="268">
        <f t="shared" si="10"/>
        <v>9.9999999999999978E-2</v>
      </c>
      <c r="H88" s="290">
        <f t="shared" si="11"/>
        <v>149.99999999999997</v>
      </c>
    </row>
    <row r="89" spans="1:8" ht="21" customHeight="1">
      <c r="A89" s="291"/>
      <c r="B89" s="292" t="s">
        <v>157</v>
      </c>
      <c r="C89" s="266"/>
      <c r="D89" s="194">
        <v>40.799999999999997</v>
      </c>
      <c r="E89" s="194">
        <f>'Розшифровка 2 до формування'!E128</f>
        <v>51</v>
      </c>
      <c r="F89" s="194">
        <v>46.9</v>
      </c>
      <c r="G89" s="268">
        <f t="shared" si="10"/>
        <v>-4.1000000000000014</v>
      </c>
      <c r="H89" s="290">
        <f t="shared" si="11"/>
        <v>91.960784313725483</v>
      </c>
    </row>
    <row r="90" spans="1:8" ht="22.5" customHeight="1">
      <c r="A90" s="291"/>
      <c r="B90" s="292" t="s">
        <v>158</v>
      </c>
      <c r="C90" s="266"/>
      <c r="D90" s="194">
        <v>2</v>
      </c>
      <c r="E90" s="194">
        <v>3.7</v>
      </c>
      <c r="F90" s="194">
        <v>3.6</v>
      </c>
      <c r="G90" s="268">
        <f t="shared" si="10"/>
        <v>-0.10000000000000009</v>
      </c>
      <c r="H90" s="290">
        <f t="shared" si="11"/>
        <v>97.297297297297291</v>
      </c>
    </row>
    <row r="91" spans="1:8" ht="23.25" customHeight="1">
      <c r="A91" s="291"/>
      <c r="B91" s="292" t="s">
        <v>159</v>
      </c>
      <c r="C91" s="266"/>
      <c r="D91" s="194">
        <v>13.5</v>
      </c>
      <c r="E91" s="194">
        <v>40</v>
      </c>
      <c r="F91" s="194">
        <v>24</v>
      </c>
      <c r="G91" s="268">
        <f t="shared" si="10"/>
        <v>-16</v>
      </c>
      <c r="H91" s="290">
        <f t="shared" si="11"/>
        <v>60</v>
      </c>
    </row>
    <row r="92" spans="1:8" ht="23.25" customHeight="1">
      <c r="A92" s="291"/>
      <c r="B92" s="292" t="s">
        <v>161</v>
      </c>
      <c r="C92" s="266"/>
      <c r="D92" s="194">
        <v>0.7</v>
      </c>
      <c r="E92" s="194">
        <v>1.5</v>
      </c>
      <c r="F92" s="194">
        <v>0.6</v>
      </c>
      <c r="G92" s="268">
        <f t="shared" si="10"/>
        <v>-0.9</v>
      </c>
      <c r="H92" s="290">
        <f t="shared" si="11"/>
        <v>40</v>
      </c>
    </row>
    <row r="93" spans="1:8">
      <c r="A93" s="291"/>
      <c r="B93" s="292" t="s">
        <v>295</v>
      </c>
      <c r="C93" s="266"/>
      <c r="D93" s="194">
        <v>0.2</v>
      </c>
      <c r="E93" s="194"/>
      <c r="F93" s="194"/>
      <c r="G93" s="268">
        <f t="shared" si="10"/>
        <v>0</v>
      </c>
      <c r="H93" s="272" t="e">
        <f t="shared" si="11"/>
        <v>#DIV/0!</v>
      </c>
    </row>
    <row r="94" spans="1:8" ht="23.25" customHeight="1">
      <c r="A94" s="291"/>
      <c r="B94" s="292" t="s">
        <v>281</v>
      </c>
      <c r="C94" s="266"/>
      <c r="D94" s="194"/>
      <c r="E94" s="194">
        <v>0.5</v>
      </c>
      <c r="F94" s="194">
        <v>0.1</v>
      </c>
      <c r="G94" s="268">
        <f t="shared" si="10"/>
        <v>-0.4</v>
      </c>
      <c r="H94" s="290">
        <f t="shared" si="11"/>
        <v>20</v>
      </c>
    </row>
    <row r="95" spans="1:8">
      <c r="A95" s="291"/>
      <c r="B95" s="292" t="s">
        <v>175</v>
      </c>
      <c r="C95" s="266"/>
      <c r="D95" s="194">
        <v>3.1</v>
      </c>
      <c r="E95" s="194">
        <f>'Розшифровка 2 до формування'!E60</f>
        <v>2</v>
      </c>
      <c r="F95" s="194">
        <v>6.8</v>
      </c>
      <c r="G95" s="268">
        <f t="shared" ref="G95:G113" si="13">F95-E95</f>
        <v>4.8</v>
      </c>
      <c r="H95" s="290">
        <f t="shared" ref="H95:H113" si="14">(F95/E95)*100</f>
        <v>340</v>
      </c>
    </row>
    <row r="96" spans="1:8" ht="22.5" customHeight="1">
      <c r="A96" s="285"/>
      <c r="B96" s="293" t="s">
        <v>153</v>
      </c>
      <c r="C96" s="266"/>
      <c r="D96" s="194"/>
      <c r="E96" s="194"/>
      <c r="F96" s="194">
        <v>1.2</v>
      </c>
      <c r="G96" s="268">
        <f t="shared" si="13"/>
        <v>1.2</v>
      </c>
      <c r="H96" s="272" t="e">
        <f t="shared" si="14"/>
        <v>#DIV/0!</v>
      </c>
    </row>
    <row r="97" spans="1:8" ht="22.5" customHeight="1">
      <c r="A97" s="285"/>
      <c r="B97" s="172" t="s">
        <v>280</v>
      </c>
      <c r="C97" s="266"/>
      <c r="D97" s="194"/>
      <c r="E97" s="194"/>
      <c r="F97" s="194">
        <v>0.5</v>
      </c>
      <c r="G97" s="268">
        <f t="shared" si="13"/>
        <v>0.5</v>
      </c>
      <c r="H97" s="272" t="e">
        <f t="shared" si="14"/>
        <v>#DIV/0!</v>
      </c>
    </row>
    <row r="98" spans="1:8" ht="26.25" customHeight="1">
      <c r="A98" s="279" t="s">
        <v>100</v>
      </c>
      <c r="B98" s="280"/>
      <c r="C98" s="266">
        <v>1035</v>
      </c>
      <c r="D98" s="193">
        <f>SUM(D99:D113)</f>
        <v>223.59999999999997</v>
      </c>
      <c r="E98" s="193">
        <f>SUM(E99:E113)</f>
        <v>366</v>
      </c>
      <c r="F98" s="193">
        <f>SUM(F99:F113)</f>
        <v>369.7</v>
      </c>
      <c r="G98" s="262">
        <f t="shared" si="13"/>
        <v>3.6999999999999886</v>
      </c>
      <c r="H98" s="288">
        <f t="shared" si="14"/>
        <v>101.01092896174863</v>
      </c>
    </row>
    <row r="99" spans="1:8" ht="23.25" customHeight="1">
      <c r="A99" s="289"/>
      <c r="B99" s="42" t="s">
        <v>253</v>
      </c>
      <c r="C99" s="266"/>
      <c r="D99" s="194">
        <v>9.6</v>
      </c>
      <c r="E99" s="194">
        <v>9</v>
      </c>
      <c r="F99" s="194">
        <v>8.6999999999999993</v>
      </c>
      <c r="G99" s="268">
        <f t="shared" si="13"/>
        <v>-0.30000000000000071</v>
      </c>
      <c r="H99" s="271">
        <f t="shared" si="14"/>
        <v>96.666666666666657</v>
      </c>
    </row>
    <row r="100" spans="1:8" ht="21" customHeight="1">
      <c r="A100" s="289"/>
      <c r="B100" s="42" t="s">
        <v>184</v>
      </c>
      <c r="C100" s="266"/>
      <c r="D100" s="194">
        <v>4.5999999999999996</v>
      </c>
      <c r="E100" s="194">
        <v>6</v>
      </c>
      <c r="F100" s="194">
        <v>6.7</v>
      </c>
      <c r="G100" s="268">
        <f t="shared" si="13"/>
        <v>0.70000000000000018</v>
      </c>
      <c r="H100" s="271">
        <f t="shared" si="14"/>
        <v>111.66666666666667</v>
      </c>
    </row>
    <row r="101" spans="1:8" ht="20.25" customHeight="1">
      <c r="A101" s="289"/>
      <c r="B101" s="42" t="s">
        <v>185</v>
      </c>
      <c r="C101" s="266"/>
      <c r="D101" s="194">
        <v>1.6</v>
      </c>
      <c r="E101" s="194">
        <v>2.5</v>
      </c>
      <c r="F101" s="194">
        <v>2</v>
      </c>
      <c r="G101" s="268">
        <f t="shared" si="13"/>
        <v>-0.5</v>
      </c>
      <c r="H101" s="271">
        <f t="shared" si="14"/>
        <v>80</v>
      </c>
    </row>
    <row r="102" spans="1:8" ht="21.75" customHeight="1">
      <c r="A102" s="289"/>
      <c r="B102" s="42" t="s">
        <v>177</v>
      </c>
      <c r="C102" s="266"/>
      <c r="D102" s="194"/>
      <c r="E102" s="194">
        <v>2</v>
      </c>
      <c r="F102" s="194"/>
      <c r="G102" s="268">
        <f t="shared" si="13"/>
        <v>-2</v>
      </c>
      <c r="H102" s="271">
        <f t="shared" si="14"/>
        <v>0</v>
      </c>
    </row>
    <row r="103" spans="1:8" ht="22.5" customHeight="1">
      <c r="A103" s="289"/>
      <c r="B103" s="42" t="s">
        <v>347</v>
      </c>
      <c r="C103" s="266"/>
      <c r="D103" s="194"/>
      <c r="E103" s="194"/>
      <c r="F103" s="194">
        <v>14</v>
      </c>
      <c r="G103" s="268">
        <f t="shared" si="13"/>
        <v>14</v>
      </c>
      <c r="H103" s="272" t="e">
        <f t="shared" si="14"/>
        <v>#DIV/0!</v>
      </c>
    </row>
    <row r="104" spans="1:8" ht="23.25" customHeight="1">
      <c r="A104" s="289"/>
      <c r="B104" s="42" t="s">
        <v>324</v>
      </c>
      <c r="C104" s="266"/>
      <c r="D104" s="194"/>
      <c r="E104" s="194"/>
      <c r="F104" s="194">
        <v>3.1</v>
      </c>
      <c r="G104" s="268">
        <f t="shared" si="13"/>
        <v>3.1</v>
      </c>
      <c r="H104" s="272" t="e">
        <f t="shared" si="14"/>
        <v>#DIV/0!</v>
      </c>
    </row>
    <row r="105" spans="1:8" ht="37.5">
      <c r="A105" s="289"/>
      <c r="B105" s="42" t="s">
        <v>284</v>
      </c>
      <c r="C105" s="266"/>
      <c r="D105" s="194">
        <v>5.6</v>
      </c>
      <c r="E105" s="194"/>
      <c r="F105" s="194"/>
      <c r="G105" s="268">
        <f t="shared" si="13"/>
        <v>0</v>
      </c>
      <c r="H105" s="272" t="e">
        <f t="shared" si="14"/>
        <v>#DIV/0!</v>
      </c>
    </row>
    <row r="106" spans="1:8" ht="22.5" customHeight="1">
      <c r="A106" s="289"/>
      <c r="B106" s="186" t="s">
        <v>300</v>
      </c>
      <c r="C106" s="266"/>
      <c r="D106" s="194">
        <v>9.3000000000000007</v>
      </c>
      <c r="E106" s="194"/>
      <c r="F106" s="194"/>
      <c r="G106" s="268">
        <f t="shared" si="13"/>
        <v>0</v>
      </c>
      <c r="H106" s="272" t="e">
        <f t="shared" si="14"/>
        <v>#DIV/0!</v>
      </c>
    </row>
    <row r="107" spans="1:8" ht="22.5" customHeight="1">
      <c r="A107" s="266"/>
      <c r="B107" s="294" t="s">
        <v>261</v>
      </c>
      <c r="C107" s="266"/>
      <c r="D107" s="194"/>
      <c r="E107" s="194"/>
      <c r="F107" s="194"/>
      <c r="G107" s="268">
        <f t="shared" si="13"/>
        <v>0</v>
      </c>
      <c r="H107" s="272" t="e">
        <f t="shared" si="14"/>
        <v>#DIV/0!</v>
      </c>
    </row>
    <row r="108" spans="1:8" ht="24.75" customHeight="1">
      <c r="A108" s="266"/>
      <c r="B108" s="295" t="s">
        <v>187</v>
      </c>
      <c r="C108" s="266"/>
      <c r="D108" s="194">
        <v>9.9</v>
      </c>
      <c r="E108" s="194"/>
      <c r="F108" s="194"/>
      <c r="G108" s="268">
        <f t="shared" si="13"/>
        <v>0</v>
      </c>
      <c r="H108" s="272" t="e">
        <f t="shared" si="14"/>
        <v>#DIV/0!</v>
      </c>
    </row>
    <row r="109" spans="1:8" ht="44.25" customHeight="1">
      <c r="A109" s="266"/>
      <c r="B109" s="42" t="s">
        <v>318</v>
      </c>
      <c r="C109" s="266"/>
      <c r="D109" s="194"/>
      <c r="E109" s="194">
        <v>61.9</v>
      </c>
      <c r="F109" s="194">
        <v>61.9</v>
      </c>
      <c r="G109" s="268">
        <f t="shared" si="13"/>
        <v>0</v>
      </c>
      <c r="H109" s="271">
        <f t="shared" si="14"/>
        <v>100</v>
      </c>
    </row>
    <row r="110" spans="1:8" ht="37.5">
      <c r="A110" s="266"/>
      <c r="B110" s="42" t="s">
        <v>189</v>
      </c>
      <c r="C110" s="266"/>
      <c r="D110" s="194">
        <v>156.69999999999999</v>
      </c>
      <c r="E110" s="194">
        <v>244.1</v>
      </c>
      <c r="F110" s="194">
        <v>244.1</v>
      </c>
      <c r="G110" s="268">
        <f t="shared" si="13"/>
        <v>0</v>
      </c>
      <c r="H110" s="271">
        <f t="shared" si="14"/>
        <v>100</v>
      </c>
    </row>
    <row r="111" spans="1:8" ht="22.5" customHeight="1">
      <c r="A111" s="266"/>
      <c r="B111" s="42" t="s">
        <v>52</v>
      </c>
      <c r="C111" s="266"/>
      <c r="D111" s="194">
        <v>25.1</v>
      </c>
      <c r="E111" s="194">
        <v>40</v>
      </c>
      <c r="F111" s="194">
        <v>28.7</v>
      </c>
      <c r="G111" s="268">
        <f t="shared" si="13"/>
        <v>-11.3</v>
      </c>
      <c r="H111" s="271">
        <f t="shared" si="14"/>
        <v>71.75</v>
      </c>
    </row>
    <row r="112" spans="1:8" ht="22.5" customHeight="1">
      <c r="A112" s="266"/>
      <c r="B112" s="42" t="s">
        <v>319</v>
      </c>
      <c r="C112" s="266"/>
      <c r="D112" s="194"/>
      <c r="E112" s="194">
        <v>0.5</v>
      </c>
      <c r="F112" s="194">
        <v>0.5</v>
      </c>
      <c r="G112" s="268">
        <f t="shared" si="13"/>
        <v>0</v>
      </c>
      <c r="H112" s="271">
        <f t="shared" si="14"/>
        <v>100</v>
      </c>
    </row>
    <row r="113" spans="1:9" ht="23.25" customHeight="1">
      <c r="A113" s="266"/>
      <c r="B113" s="42" t="s">
        <v>298</v>
      </c>
      <c r="C113" s="266"/>
      <c r="D113" s="194">
        <v>1.2</v>
      </c>
      <c r="E113" s="194"/>
      <c r="F113" s="194"/>
      <c r="G113" s="268">
        <f t="shared" si="13"/>
        <v>0</v>
      </c>
      <c r="H113" s="272" t="e">
        <f t="shared" si="14"/>
        <v>#DIV/0!</v>
      </c>
    </row>
    <row r="114" spans="1:9">
      <c r="A114" s="296"/>
      <c r="B114" s="41"/>
      <c r="C114" s="296"/>
      <c r="D114" s="297"/>
      <c r="E114" s="297"/>
      <c r="F114" s="297"/>
      <c r="G114" s="298"/>
      <c r="H114" s="299" t="e">
        <f t="shared" ref="H114" si="15">(F114/E114)*100</f>
        <v>#DIV/0!</v>
      </c>
    </row>
    <row r="115" spans="1:9" ht="26.25">
      <c r="A115" s="296"/>
      <c r="B115" s="126" t="s">
        <v>228</v>
      </c>
      <c r="C115" s="50"/>
      <c r="D115" s="300"/>
      <c r="E115" s="301"/>
      <c r="F115" s="302"/>
      <c r="G115" s="303" t="s">
        <v>263</v>
      </c>
      <c r="H115" s="303"/>
      <c r="I115" s="51"/>
    </row>
    <row r="116" spans="1:9" ht="20.25">
      <c r="A116" s="296"/>
      <c r="B116" s="123" t="s">
        <v>10</v>
      </c>
      <c r="C116" s="51"/>
      <c r="D116" s="304" t="s">
        <v>11</v>
      </c>
      <c r="E116" s="304"/>
      <c r="F116" s="305"/>
      <c r="G116" s="223" t="s">
        <v>257</v>
      </c>
      <c r="H116" s="223"/>
      <c r="I116" s="117"/>
    </row>
    <row r="117" spans="1:9">
      <c r="A117" s="107"/>
      <c r="B117" s="47"/>
      <c r="C117" s="107"/>
      <c r="D117" s="137"/>
      <c r="E117" s="137"/>
      <c r="F117" s="137"/>
      <c r="G117" s="108"/>
      <c r="H117" s="109"/>
    </row>
    <row r="118" spans="1:9">
      <c r="B118" s="31"/>
    </row>
    <row r="119" spans="1:9">
      <c r="B119" s="31"/>
    </row>
    <row r="120" spans="1:9">
      <c r="B120" s="31"/>
    </row>
    <row r="121" spans="1:9">
      <c r="B121" s="31"/>
    </row>
    <row r="122" spans="1:9">
      <c r="B122" s="31"/>
    </row>
    <row r="123" spans="1:9">
      <c r="B123" s="31"/>
    </row>
    <row r="124" spans="1:9">
      <c r="B124" s="31"/>
    </row>
    <row r="125" spans="1:9">
      <c r="B125" s="31"/>
    </row>
    <row r="126" spans="1:9">
      <c r="B126" s="31"/>
    </row>
    <row r="127" spans="1:9">
      <c r="B127" s="31"/>
    </row>
    <row r="128" spans="1:9">
      <c r="B128" s="31"/>
    </row>
    <row r="129" spans="2:2">
      <c r="B129" s="31"/>
    </row>
    <row r="130" spans="2:2">
      <c r="B130" s="31"/>
    </row>
    <row r="131" spans="2:2">
      <c r="B131" s="31"/>
    </row>
    <row r="132" spans="2:2">
      <c r="B132" s="31"/>
    </row>
    <row r="133" spans="2:2">
      <c r="B133" s="31"/>
    </row>
    <row r="134" spans="2:2">
      <c r="B134" s="31"/>
    </row>
    <row r="135" spans="2:2">
      <c r="B135" s="31"/>
    </row>
    <row r="136" spans="2:2">
      <c r="B136" s="31"/>
    </row>
    <row r="137" spans="2:2">
      <c r="B137" s="31"/>
    </row>
    <row r="138" spans="2:2">
      <c r="B138" s="31"/>
    </row>
    <row r="139" spans="2:2">
      <c r="B139" s="31"/>
    </row>
    <row r="140" spans="2:2">
      <c r="B140" s="31"/>
    </row>
    <row r="141" spans="2:2">
      <c r="B141" s="31"/>
    </row>
    <row r="142" spans="2:2">
      <c r="B142" s="31"/>
    </row>
    <row r="143" spans="2:2">
      <c r="B143" s="31"/>
    </row>
    <row r="144" spans="2:2">
      <c r="B144" s="31"/>
    </row>
    <row r="145" spans="2:2">
      <c r="B145" s="31"/>
    </row>
    <row r="146" spans="2:2">
      <c r="B146" s="31"/>
    </row>
    <row r="147" spans="2:2">
      <c r="B147" s="31"/>
    </row>
    <row r="148" spans="2:2">
      <c r="B148" s="31"/>
    </row>
    <row r="149" spans="2:2">
      <c r="B149" s="31"/>
    </row>
    <row r="150" spans="2:2">
      <c r="B150" s="31"/>
    </row>
    <row r="151" spans="2:2">
      <c r="B151" s="31"/>
    </row>
    <row r="152" spans="2:2">
      <c r="B152" s="31"/>
    </row>
    <row r="153" spans="2:2">
      <c r="B153" s="31"/>
    </row>
    <row r="154" spans="2:2">
      <c r="B154" s="31"/>
    </row>
    <row r="155" spans="2:2">
      <c r="B155" s="31"/>
    </row>
    <row r="156" spans="2:2">
      <c r="B156" s="31"/>
    </row>
    <row r="157" spans="2:2">
      <c r="B157" s="31"/>
    </row>
    <row r="158" spans="2:2">
      <c r="B158" s="31"/>
    </row>
    <row r="159" spans="2:2">
      <c r="B159" s="31"/>
    </row>
    <row r="160" spans="2:2">
      <c r="B160" s="31"/>
    </row>
    <row r="161" spans="2:2">
      <c r="B161" s="31"/>
    </row>
    <row r="162" spans="2:2">
      <c r="B162" s="31"/>
    </row>
    <row r="163" spans="2:2">
      <c r="B163" s="31"/>
    </row>
    <row r="164" spans="2:2">
      <c r="B164" s="31"/>
    </row>
    <row r="165" spans="2:2">
      <c r="B165" s="31"/>
    </row>
    <row r="166" spans="2:2">
      <c r="B166" s="31"/>
    </row>
    <row r="167" spans="2:2">
      <c r="B167" s="31"/>
    </row>
    <row r="168" spans="2:2">
      <c r="B168" s="31"/>
    </row>
    <row r="169" spans="2:2">
      <c r="B169" s="31"/>
    </row>
    <row r="170" spans="2:2">
      <c r="B170" s="31"/>
    </row>
    <row r="171" spans="2:2">
      <c r="B171" s="31"/>
    </row>
    <row r="172" spans="2:2">
      <c r="B172" s="31"/>
    </row>
    <row r="173" spans="2:2">
      <c r="B173" s="31"/>
    </row>
    <row r="174" spans="2:2">
      <c r="B174" s="31"/>
    </row>
    <row r="175" spans="2:2">
      <c r="B175" s="31"/>
    </row>
    <row r="176" spans="2:2">
      <c r="B176" s="31"/>
    </row>
    <row r="177" spans="2:2">
      <c r="B177" s="31"/>
    </row>
    <row r="178" spans="2:2">
      <c r="B178" s="31"/>
    </row>
    <row r="179" spans="2:2">
      <c r="B179" s="31"/>
    </row>
    <row r="180" spans="2:2">
      <c r="B180" s="31"/>
    </row>
    <row r="181" spans="2:2">
      <c r="B181" s="31"/>
    </row>
    <row r="182" spans="2:2">
      <c r="B182" s="31"/>
    </row>
    <row r="183" spans="2:2">
      <c r="B183" s="31"/>
    </row>
    <row r="184" spans="2:2">
      <c r="B184" s="31"/>
    </row>
    <row r="185" spans="2:2">
      <c r="B185" s="31"/>
    </row>
    <row r="186" spans="2:2">
      <c r="B186" s="31"/>
    </row>
    <row r="187" spans="2:2">
      <c r="B187" s="31"/>
    </row>
    <row r="188" spans="2:2">
      <c r="B188" s="31"/>
    </row>
  </sheetData>
  <mergeCells count="20">
    <mergeCell ref="A27:B27"/>
    <mergeCell ref="A81:B81"/>
    <mergeCell ref="A98:B98"/>
    <mergeCell ref="A53:B53"/>
    <mergeCell ref="A71:B71"/>
    <mergeCell ref="A72:B72"/>
    <mergeCell ref="A76:B76"/>
    <mergeCell ref="A80:B80"/>
    <mergeCell ref="B2:F2"/>
    <mergeCell ref="A21:B21"/>
    <mergeCell ref="A23:B23"/>
    <mergeCell ref="A6:B6"/>
    <mergeCell ref="A7:B7"/>
    <mergeCell ref="A11:B11"/>
    <mergeCell ref="D115:E115"/>
    <mergeCell ref="G115:H115"/>
    <mergeCell ref="D116:E116"/>
    <mergeCell ref="A28:B28"/>
    <mergeCell ref="A29:B29"/>
    <mergeCell ref="G116:H116"/>
  </mergeCells>
  <pageMargins left="0.39370078740157483" right="0.39370078740157483" top="0.59055118110236227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Q234"/>
  <sheetViews>
    <sheetView view="pageBreakPreview" zoomScale="80" zoomScaleNormal="70" zoomScaleSheetLayoutView="80" workbookViewId="0">
      <selection activeCell="I7" sqref="I7"/>
    </sheetView>
  </sheetViews>
  <sheetFormatPr defaultRowHeight="18.75"/>
  <cols>
    <col min="1" max="1" width="9.140625" style="21"/>
    <col min="2" max="2" width="106.140625" style="21" customWidth="1"/>
    <col min="3" max="3" width="14.140625" style="30" customWidth="1"/>
    <col min="4" max="4" width="17.140625" style="122" customWidth="1"/>
    <col min="5" max="5" width="18" style="122" customWidth="1"/>
    <col min="6" max="6" width="16.140625" style="122" customWidth="1"/>
    <col min="7" max="7" width="16.140625" style="128" customWidth="1"/>
    <col min="8" max="8" width="16.42578125" style="128" customWidth="1"/>
    <col min="9" max="9" width="9.140625" style="21"/>
    <col min="10" max="10" width="14.5703125" style="21" bestFit="1" customWidth="1"/>
    <col min="11" max="11" width="14.5703125" style="29" bestFit="1" customWidth="1"/>
    <col min="12" max="12" width="17.7109375" style="21" customWidth="1"/>
    <col min="13" max="13" width="18.42578125" style="21" customWidth="1"/>
    <col min="14" max="14" width="18.7109375" style="21" customWidth="1"/>
    <col min="15" max="15" width="9.140625" style="21"/>
    <col min="16" max="17" width="14.5703125" style="21" bestFit="1" customWidth="1"/>
    <col min="18" max="16384" width="9.140625" style="21"/>
  </cols>
  <sheetData>
    <row r="1" spans="1:16" s="128" customFormat="1" ht="24.75" customHeight="1">
      <c r="B1" s="226" t="s">
        <v>127</v>
      </c>
      <c r="C1" s="226"/>
      <c r="D1" s="226"/>
      <c r="E1" s="226"/>
      <c r="F1" s="226"/>
      <c r="G1" s="226"/>
      <c r="H1" s="226"/>
      <c r="K1" s="157"/>
    </row>
    <row r="2" spans="1:16" s="128" customFormat="1">
      <c r="B2" s="188"/>
      <c r="C2" s="156"/>
      <c r="D2" s="188"/>
      <c r="E2" s="188"/>
      <c r="F2" s="188"/>
      <c r="H2" s="128" t="s">
        <v>72</v>
      </c>
      <c r="K2" s="157"/>
    </row>
    <row r="3" spans="1:16" ht="71.25" customHeight="1">
      <c r="A3" s="24" t="s">
        <v>85</v>
      </c>
      <c r="B3" s="24" t="s">
        <v>23</v>
      </c>
      <c r="C3" s="306" t="s">
        <v>5</v>
      </c>
      <c r="D3" s="307" t="s">
        <v>291</v>
      </c>
      <c r="E3" s="307" t="s">
        <v>316</v>
      </c>
      <c r="F3" s="307" t="s">
        <v>317</v>
      </c>
      <c r="G3" s="308" t="s">
        <v>117</v>
      </c>
      <c r="H3" s="308" t="s">
        <v>120</v>
      </c>
    </row>
    <row r="4" spans="1:16" ht="30.75" customHeight="1">
      <c r="A4" s="27">
        <v>1</v>
      </c>
      <c r="B4" s="27">
        <v>2</v>
      </c>
      <c r="C4" s="308">
        <v>3</v>
      </c>
      <c r="D4" s="308">
        <v>4</v>
      </c>
      <c r="E4" s="308">
        <v>5</v>
      </c>
      <c r="F4" s="308">
        <v>6</v>
      </c>
      <c r="G4" s="27">
        <v>7</v>
      </c>
      <c r="H4" s="27">
        <v>8</v>
      </c>
    </row>
    <row r="5" spans="1:16" ht="30.75" customHeight="1">
      <c r="A5" s="309" t="s">
        <v>91</v>
      </c>
      <c r="B5" s="309"/>
      <c r="C5" s="260"/>
      <c r="D5" s="261">
        <f>SUM(D6,D75,D92,D106,D117,D133,D145,D166,D181,D185,D192,D203,)</f>
        <v>16270.8</v>
      </c>
      <c r="E5" s="261">
        <f>SUM(E6,E75,E92,E106,E117,E133,E145,E166,E181,E185,E192,E203,)</f>
        <v>14341.7</v>
      </c>
      <c r="F5" s="261">
        <f>SUM(F6,F75,F92,F106,F117,F133,F145,F166,F181,F185,F192,F203,)</f>
        <v>14473.299999999996</v>
      </c>
      <c r="G5" s="262">
        <f>F5-E5</f>
        <v>131.59999999999491</v>
      </c>
      <c r="H5" s="310">
        <f t="shared" ref="H5:H8" si="0">(F5/E5)*100</f>
        <v>100.9176039102756</v>
      </c>
      <c r="I5" s="311"/>
    </row>
    <row r="6" spans="1:16" ht="29.25" customHeight="1">
      <c r="A6" s="266" t="s">
        <v>92</v>
      </c>
      <c r="B6" s="312" t="s">
        <v>249</v>
      </c>
      <c r="C6" s="260"/>
      <c r="D6" s="193">
        <f>SUM(D8,D46,D58)</f>
        <v>12192.6</v>
      </c>
      <c r="E6" s="193">
        <f>SUM(E8,E46,E58)</f>
        <v>10783.8</v>
      </c>
      <c r="F6" s="193">
        <f>SUM(F8,F46,F58)</f>
        <v>10988.8</v>
      </c>
      <c r="G6" s="262">
        <f t="shared" ref="G6:G8" si="1">F6-E6</f>
        <v>205</v>
      </c>
      <c r="H6" s="310">
        <f t="shared" si="0"/>
        <v>101.90099964761959</v>
      </c>
      <c r="I6" s="311"/>
      <c r="L6" s="313">
        <f>L8+L15+L22</f>
        <v>16270.799999999996</v>
      </c>
      <c r="M6" s="313">
        <f t="shared" ref="M6:N6" si="2">M8+M15+M22</f>
        <v>14341.699999999997</v>
      </c>
      <c r="N6" s="313">
        <f t="shared" si="2"/>
        <v>14473.299999999997</v>
      </c>
    </row>
    <row r="7" spans="1:16" ht="24.75" customHeight="1">
      <c r="A7" s="267"/>
      <c r="B7" s="314" t="s">
        <v>93</v>
      </c>
      <c r="C7" s="260"/>
      <c r="D7" s="194"/>
      <c r="E7" s="194"/>
      <c r="F7" s="194"/>
      <c r="G7" s="261"/>
      <c r="H7" s="315"/>
      <c r="I7" s="311"/>
      <c r="L7" s="313"/>
      <c r="M7" s="313"/>
      <c r="N7" s="313"/>
    </row>
    <row r="8" spans="1:16" ht="29.25" customHeight="1">
      <c r="A8" s="316" t="s">
        <v>94</v>
      </c>
      <c r="B8" s="285" t="s">
        <v>97</v>
      </c>
      <c r="C8" s="266">
        <v>1010</v>
      </c>
      <c r="D8" s="193">
        <f>D24+D25+D27+D9+D26</f>
        <v>8655.1</v>
      </c>
      <c r="E8" s="193">
        <f>E9+E24+E25+E26+E27</f>
        <v>7977.5</v>
      </c>
      <c r="F8" s="193">
        <f>F24+F25+F27+F9+F26</f>
        <v>7761.2</v>
      </c>
      <c r="G8" s="193">
        <f t="shared" si="1"/>
        <v>-216.30000000000018</v>
      </c>
      <c r="H8" s="310">
        <f t="shared" si="0"/>
        <v>97.288624255719199</v>
      </c>
      <c r="I8" s="311"/>
      <c r="K8" s="29">
        <v>1010</v>
      </c>
      <c r="L8" s="313">
        <f>SUM(D8,D77,D94,D135,D147,D168,D183,D187,D194,)</f>
        <v>11466.799999999997</v>
      </c>
      <c r="M8" s="313">
        <f>SUM(E8,E77,E94,E135,E147,E168,E183,E187,E194,)</f>
        <v>10057.499999999998</v>
      </c>
      <c r="N8" s="313">
        <f>SUM(F8,F77,F94,F135,F147,F168,F183,F187,F194,)</f>
        <v>10211.099999999999</v>
      </c>
    </row>
    <row r="9" spans="1:16" ht="27" customHeight="1">
      <c r="A9" s="317" t="s">
        <v>190</v>
      </c>
      <c r="B9" s="190" t="s">
        <v>247</v>
      </c>
      <c r="C9" s="191">
        <v>1011</v>
      </c>
      <c r="D9" s="318">
        <f>SUM(D10:D23)</f>
        <v>459.40000000000003</v>
      </c>
      <c r="E9" s="318">
        <f>SUM(E10:E23)</f>
        <v>417.5</v>
      </c>
      <c r="F9" s="318">
        <f>SUM(F10:F23)</f>
        <v>584.9</v>
      </c>
      <c r="G9" s="318">
        <f>F9-E9</f>
        <v>167.39999999999998</v>
      </c>
      <c r="H9" s="319">
        <f>(F9/E9)*100</f>
        <v>140.09580838323353</v>
      </c>
      <c r="I9" s="311"/>
      <c r="K9" s="29">
        <v>1011</v>
      </c>
      <c r="L9" s="320">
        <f>SUM(D9,D78,D95,D136,D148,D169,D195)</f>
        <v>2685.7</v>
      </c>
      <c r="M9" s="320">
        <f>SUM(E9,E78,E95,E136,E148,E169,E195)</f>
        <v>2025.9</v>
      </c>
      <c r="N9" s="320">
        <f>SUM(F9,F78,F95,F136,F148,F169,F195)</f>
        <v>2553.6999999999998</v>
      </c>
    </row>
    <row r="10" spans="1:16" ht="25.5" customHeight="1">
      <c r="A10" s="321"/>
      <c r="B10" s="39" t="s">
        <v>209</v>
      </c>
      <c r="C10" s="39"/>
      <c r="D10" s="194">
        <v>11.8</v>
      </c>
      <c r="E10" s="315">
        <v>7.5</v>
      </c>
      <c r="F10" s="194">
        <v>9.6</v>
      </c>
      <c r="G10" s="194">
        <f t="shared" ref="G10" si="3">F10-E10</f>
        <v>2.0999999999999996</v>
      </c>
      <c r="H10" s="315">
        <f t="shared" ref="H10" si="4">(F10/E10)*100</f>
        <v>128</v>
      </c>
      <c r="I10" s="311"/>
      <c r="K10" s="29">
        <v>1012</v>
      </c>
      <c r="L10" s="320">
        <f>SUM(D24,D201)</f>
        <v>6786.0999999999995</v>
      </c>
      <c r="M10" s="320">
        <f>SUM(E24,E201)</f>
        <v>6058.7999999999993</v>
      </c>
      <c r="N10" s="320">
        <f>SUM(F24,F201)</f>
        <v>5741.8</v>
      </c>
      <c r="P10" s="322"/>
    </row>
    <row r="11" spans="1:16" ht="24.75" customHeight="1">
      <c r="A11" s="321"/>
      <c r="B11" s="39" t="s">
        <v>148</v>
      </c>
      <c r="C11" s="39"/>
      <c r="D11" s="194">
        <v>16.100000000000001</v>
      </c>
      <c r="E11" s="315">
        <v>15</v>
      </c>
      <c r="F11" s="194">
        <v>18.399999999999999</v>
      </c>
      <c r="G11" s="315">
        <f t="shared" ref="G11:G74" si="5">F11-E11</f>
        <v>3.3999999999999986</v>
      </c>
      <c r="H11" s="315">
        <f t="shared" ref="H11:H74" si="6">(F11/E11)*100</f>
        <v>122.66666666666666</v>
      </c>
      <c r="I11" s="311"/>
      <c r="K11" s="29">
        <v>1013</v>
      </c>
      <c r="L11" s="320">
        <f>SUM(D25,D171,D202)</f>
        <v>1377.6</v>
      </c>
      <c r="M11" s="320">
        <f>SUM(E25,E171,E202)</f>
        <v>1267.3</v>
      </c>
      <c r="N11" s="320">
        <f>SUM(F25,F171,F202)</f>
        <v>1175.9000000000001</v>
      </c>
    </row>
    <row r="12" spans="1:16" ht="23.25" customHeight="1">
      <c r="A12" s="321"/>
      <c r="B12" s="39" t="s">
        <v>239</v>
      </c>
      <c r="C12" s="39"/>
      <c r="D12" s="194">
        <v>12.2</v>
      </c>
      <c r="E12" s="315">
        <v>13</v>
      </c>
      <c r="F12" s="194">
        <v>5</v>
      </c>
      <c r="G12" s="315">
        <f t="shared" si="5"/>
        <v>-8</v>
      </c>
      <c r="H12" s="315">
        <f t="shared" si="6"/>
        <v>38.461538461538467</v>
      </c>
      <c r="I12" s="311"/>
      <c r="K12" s="29">
        <v>1014</v>
      </c>
      <c r="L12" s="320">
        <f>SUM(D26,D153,D184,D188,)</f>
        <v>483.6</v>
      </c>
      <c r="M12" s="320">
        <f>SUM(E26,E153,E184,E188,)</f>
        <v>488.8</v>
      </c>
      <c r="N12" s="320">
        <f>SUM(F26,F153,F184,F188,)</f>
        <v>511.70000000000005</v>
      </c>
    </row>
    <row r="13" spans="1:16" ht="23.25" customHeight="1">
      <c r="A13" s="321"/>
      <c r="B13" s="39" t="s">
        <v>240</v>
      </c>
      <c r="C13" s="39"/>
      <c r="D13" s="194">
        <v>236.7</v>
      </c>
      <c r="E13" s="315">
        <v>250</v>
      </c>
      <c r="F13" s="194">
        <v>386.7</v>
      </c>
      <c r="G13" s="315">
        <f t="shared" si="5"/>
        <v>136.69999999999999</v>
      </c>
      <c r="H13" s="315">
        <f t="shared" si="6"/>
        <v>154.68</v>
      </c>
      <c r="I13" s="311"/>
      <c r="K13" s="29">
        <v>1015</v>
      </c>
      <c r="L13" s="320">
        <f>SUM(D27,D84,D172,)</f>
        <v>133.80000000000001</v>
      </c>
      <c r="M13" s="320">
        <f>SUM(E27,E84,E172,)</f>
        <v>216.7</v>
      </c>
      <c r="N13" s="320">
        <f>SUM(F27,F84,F172,)</f>
        <v>228.00000000000006</v>
      </c>
    </row>
    <row r="14" spans="1:16" ht="23.25" customHeight="1">
      <c r="A14" s="321"/>
      <c r="B14" s="39" t="s">
        <v>149</v>
      </c>
      <c r="C14" s="39"/>
      <c r="D14" s="194">
        <v>48.3</v>
      </c>
      <c r="E14" s="315"/>
      <c r="F14" s="194">
        <v>19.3</v>
      </c>
      <c r="G14" s="315">
        <f t="shared" si="5"/>
        <v>19.3</v>
      </c>
      <c r="H14" s="323" t="e">
        <f t="shared" si="6"/>
        <v>#DIV/0!</v>
      </c>
      <c r="I14" s="311"/>
      <c r="L14" s="320"/>
      <c r="M14" s="320"/>
      <c r="N14" s="320"/>
      <c r="O14" s="313"/>
    </row>
    <row r="15" spans="1:16" ht="25.5" customHeight="1">
      <c r="A15" s="321"/>
      <c r="B15" s="40" t="s">
        <v>150</v>
      </c>
      <c r="C15" s="39"/>
      <c r="D15" s="194">
        <v>26.4</v>
      </c>
      <c r="E15" s="315">
        <v>20</v>
      </c>
      <c r="F15" s="194">
        <v>24</v>
      </c>
      <c r="G15" s="315">
        <f t="shared" si="5"/>
        <v>4</v>
      </c>
      <c r="H15" s="315">
        <f t="shared" si="6"/>
        <v>120</v>
      </c>
      <c r="I15" s="311"/>
      <c r="K15" s="29">
        <v>1020</v>
      </c>
      <c r="L15" s="313">
        <f>SUM(D46,)</f>
        <v>965.9</v>
      </c>
      <c r="M15" s="313">
        <f t="shared" ref="M15:N15" si="7">SUM(E46,)</f>
        <v>630.79999999999995</v>
      </c>
      <c r="N15" s="313">
        <f t="shared" si="7"/>
        <v>867.40000000000009</v>
      </c>
    </row>
    <row r="16" spans="1:16" ht="27" customHeight="1">
      <c r="A16" s="321"/>
      <c r="B16" s="40" t="s">
        <v>151</v>
      </c>
      <c r="C16" s="39"/>
      <c r="D16" s="194">
        <v>2.5</v>
      </c>
      <c r="E16" s="315">
        <v>3</v>
      </c>
      <c r="F16" s="194">
        <v>3.7</v>
      </c>
      <c r="G16" s="315">
        <f t="shared" si="5"/>
        <v>0.70000000000000018</v>
      </c>
      <c r="H16" s="315">
        <f t="shared" si="6"/>
        <v>123.33333333333334</v>
      </c>
      <c r="I16" s="41"/>
      <c r="K16" s="29">
        <v>1021</v>
      </c>
      <c r="L16" s="320">
        <f>SUM(D47,)</f>
        <v>49.4</v>
      </c>
      <c r="M16" s="320">
        <f t="shared" ref="M16:N16" si="8">SUM(E47,)</f>
        <v>28</v>
      </c>
      <c r="N16" s="320">
        <f t="shared" si="8"/>
        <v>34</v>
      </c>
    </row>
    <row r="17" spans="1:17" ht="25.5" customHeight="1">
      <c r="A17" s="321"/>
      <c r="B17" s="40" t="s">
        <v>152</v>
      </c>
      <c r="C17" s="39"/>
      <c r="D17" s="194">
        <v>15.6</v>
      </c>
      <c r="E17" s="315">
        <v>18</v>
      </c>
      <c r="F17" s="194">
        <v>24.9</v>
      </c>
      <c r="G17" s="315">
        <f t="shared" si="5"/>
        <v>6.8999999999999986</v>
      </c>
      <c r="H17" s="315">
        <f t="shared" si="6"/>
        <v>138.33333333333334</v>
      </c>
      <c r="I17" s="41"/>
      <c r="K17" s="29">
        <v>1022</v>
      </c>
      <c r="L17" s="320">
        <f>SUM(D51,)</f>
        <v>755.9</v>
      </c>
      <c r="M17" s="320">
        <f t="shared" ref="M17:N17" si="9">SUM(E51,)</f>
        <v>490.3</v>
      </c>
      <c r="N17" s="320">
        <f t="shared" si="9"/>
        <v>672.7</v>
      </c>
    </row>
    <row r="18" spans="1:17" ht="24.75" customHeight="1">
      <c r="A18" s="321"/>
      <c r="B18" s="40" t="s">
        <v>153</v>
      </c>
      <c r="C18" s="39"/>
      <c r="D18" s="194">
        <v>60.9</v>
      </c>
      <c r="E18" s="315">
        <v>55</v>
      </c>
      <c r="F18" s="194">
        <v>51.3</v>
      </c>
      <c r="G18" s="315">
        <f t="shared" si="5"/>
        <v>-3.7000000000000028</v>
      </c>
      <c r="H18" s="315">
        <f t="shared" si="6"/>
        <v>93.272727272727266</v>
      </c>
      <c r="I18" s="41"/>
      <c r="K18" s="29">
        <v>1023</v>
      </c>
      <c r="L18" s="320">
        <f>SUM(D52)</f>
        <v>150.19999999999999</v>
      </c>
      <c r="M18" s="320">
        <f t="shared" ref="M18:N18" si="10">SUM(E52)</f>
        <v>102.5</v>
      </c>
      <c r="N18" s="320">
        <f t="shared" si="10"/>
        <v>148</v>
      </c>
    </row>
    <row r="19" spans="1:17" ht="24.75" customHeight="1">
      <c r="A19" s="321"/>
      <c r="B19" s="40" t="s">
        <v>282</v>
      </c>
      <c r="C19" s="39"/>
      <c r="D19" s="194"/>
      <c r="E19" s="315">
        <v>2</v>
      </c>
      <c r="F19" s="194"/>
      <c r="G19" s="315">
        <f t="shared" si="5"/>
        <v>-2</v>
      </c>
      <c r="H19" s="315">
        <f t="shared" si="6"/>
        <v>0</v>
      </c>
      <c r="I19" s="41"/>
      <c r="K19" s="29">
        <v>1024</v>
      </c>
      <c r="L19" s="320"/>
      <c r="M19" s="320"/>
      <c r="N19" s="320"/>
      <c r="P19" s="322"/>
    </row>
    <row r="20" spans="1:17" ht="24.75" customHeight="1">
      <c r="A20" s="321"/>
      <c r="B20" s="42" t="s">
        <v>155</v>
      </c>
      <c r="C20" s="39"/>
      <c r="D20" s="194">
        <v>19.5</v>
      </c>
      <c r="E20" s="315">
        <v>10</v>
      </c>
      <c r="F20" s="194">
        <v>27.6</v>
      </c>
      <c r="G20" s="315">
        <f t="shared" si="5"/>
        <v>17.600000000000001</v>
      </c>
      <c r="H20" s="315">
        <f t="shared" si="6"/>
        <v>276</v>
      </c>
      <c r="I20" s="41"/>
      <c r="K20" s="29">
        <v>1025</v>
      </c>
      <c r="L20" s="320">
        <f>SUM(D54)</f>
        <v>10.4</v>
      </c>
      <c r="M20" s="320">
        <f t="shared" ref="M20:N20" si="11">SUM(E54)</f>
        <v>10</v>
      </c>
      <c r="N20" s="320">
        <f t="shared" si="11"/>
        <v>12.7</v>
      </c>
      <c r="Q20" s="322"/>
    </row>
    <row r="21" spans="1:17" ht="24" customHeight="1">
      <c r="A21" s="321"/>
      <c r="B21" s="42" t="s">
        <v>156</v>
      </c>
      <c r="C21" s="39"/>
      <c r="D21" s="194">
        <v>8.8000000000000007</v>
      </c>
      <c r="E21" s="315">
        <v>13</v>
      </c>
      <c r="F21" s="194">
        <v>13.6</v>
      </c>
      <c r="G21" s="315">
        <f t="shared" si="5"/>
        <v>0.59999999999999964</v>
      </c>
      <c r="H21" s="315">
        <f t="shared" si="6"/>
        <v>104.61538461538463</v>
      </c>
      <c r="I21" s="41"/>
      <c r="L21" s="320"/>
      <c r="M21" s="320"/>
      <c r="N21" s="320"/>
    </row>
    <row r="22" spans="1:17" ht="21.75" customHeight="1">
      <c r="A22" s="321"/>
      <c r="B22" s="42" t="s">
        <v>248</v>
      </c>
      <c r="C22" s="39"/>
      <c r="D22" s="194"/>
      <c r="E22" s="315">
        <v>10</v>
      </c>
      <c r="F22" s="194"/>
      <c r="G22" s="315">
        <f t="shared" si="5"/>
        <v>-10</v>
      </c>
      <c r="H22" s="315">
        <f t="shared" si="6"/>
        <v>0</v>
      </c>
      <c r="I22" s="41"/>
      <c r="K22" s="29">
        <v>1030</v>
      </c>
      <c r="L22" s="313">
        <f>SUM(D58,D86,D103,D111,D126,D141,D175,D189,D205,D154)</f>
        <v>3838.0999999999995</v>
      </c>
      <c r="M22" s="29">
        <f>SUM(E58,E86,E103,E111,E126,E141,E175,E189,E205,E154)</f>
        <v>3653.3999999999996</v>
      </c>
      <c r="N22" s="29">
        <f>SUM(F58,F86,F103,F111,F126,F141,F175,F189,F205,F154)</f>
        <v>3394.7999999999997</v>
      </c>
    </row>
    <row r="23" spans="1:17" ht="22.5" customHeight="1">
      <c r="A23" s="321"/>
      <c r="B23" s="40" t="s">
        <v>154</v>
      </c>
      <c r="C23" s="39"/>
      <c r="D23" s="194">
        <v>0.6</v>
      </c>
      <c r="E23" s="315">
        <v>1</v>
      </c>
      <c r="F23" s="194">
        <v>0.8</v>
      </c>
      <c r="G23" s="315">
        <f t="shared" si="5"/>
        <v>-0.19999999999999996</v>
      </c>
      <c r="H23" s="315">
        <f t="shared" si="6"/>
        <v>80</v>
      </c>
      <c r="I23" s="41"/>
      <c r="K23" s="29">
        <v>1031</v>
      </c>
      <c r="L23" s="320">
        <f>SUM(D59,D87,D104,D112,D127,D142,D155,D206)</f>
        <v>1081.5</v>
      </c>
      <c r="M23" s="320">
        <f>SUM(E59,E87,E104,E112,E127,E142,E155,E206)</f>
        <v>1132.3</v>
      </c>
      <c r="N23" s="320">
        <f>SUM(F59,F87,F104,F112,F127,F142,F155,F206)</f>
        <v>706.9</v>
      </c>
    </row>
    <row r="24" spans="1:17" ht="24.75" customHeight="1">
      <c r="A24" s="317" t="s">
        <v>191</v>
      </c>
      <c r="B24" s="324" t="s">
        <v>2</v>
      </c>
      <c r="C24" s="191">
        <v>1012</v>
      </c>
      <c r="D24" s="318">
        <v>6585.4</v>
      </c>
      <c r="E24" s="310">
        <v>5955.4</v>
      </c>
      <c r="F24" s="318">
        <v>5650.7</v>
      </c>
      <c r="G24" s="319">
        <f t="shared" si="5"/>
        <v>-304.69999999999982</v>
      </c>
      <c r="H24" s="319">
        <f t="shared" si="6"/>
        <v>94.883635020317698</v>
      </c>
      <c r="I24" s="41"/>
      <c r="K24" s="29">
        <v>1032</v>
      </c>
      <c r="L24" s="320">
        <f>SUM(D63,)</f>
        <v>2065.4</v>
      </c>
      <c r="M24" s="320">
        <f t="shared" ref="M24:N24" si="12">SUM(E63,)</f>
        <v>1781.2</v>
      </c>
      <c r="N24" s="320">
        <f t="shared" si="12"/>
        <v>1875.7</v>
      </c>
    </row>
    <row r="25" spans="1:17" ht="24.75" customHeight="1">
      <c r="A25" s="317" t="s">
        <v>192</v>
      </c>
      <c r="B25" s="324" t="s">
        <v>3</v>
      </c>
      <c r="C25" s="191">
        <v>1013</v>
      </c>
      <c r="D25" s="318">
        <v>1330.1</v>
      </c>
      <c r="E25" s="310">
        <v>1244.5999999999999</v>
      </c>
      <c r="F25" s="318">
        <v>1154</v>
      </c>
      <c r="G25" s="319">
        <f t="shared" si="5"/>
        <v>-90.599999999999909</v>
      </c>
      <c r="H25" s="319">
        <f t="shared" si="6"/>
        <v>92.720552788044358</v>
      </c>
      <c r="I25" s="41"/>
      <c r="K25" s="29">
        <v>1033</v>
      </c>
      <c r="L25" s="320">
        <f>SUM(D64,)</f>
        <v>463.1</v>
      </c>
      <c r="M25" s="320">
        <f t="shared" ref="M25:N25" si="13">SUM(E64,)</f>
        <v>372.3</v>
      </c>
      <c r="N25" s="320">
        <f t="shared" si="13"/>
        <v>442.5</v>
      </c>
    </row>
    <row r="26" spans="1:17" ht="24.75" customHeight="1">
      <c r="A26" s="317" t="s">
        <v>278</v>
      </c>
      <c r="B26" s="324" t="s">
        <v>193</v>
      </c>
      <c r="C26" s="191">
        <v>1014</v>
      </c>
      <c r="D26" s="318">
        <v>184</v>
      </c>
      <c r="E26" s="310">
        <v>200</v>
      </c>
      <c r="F26" s="318">
        <v>190.3</v>
      </c>
      <c r="G26" s="319">
        <f t="shared" si="5"/>
        <v>-9.6999999999999886</v>
      </c>
      <c r="H26" s="319">
        <f t="shared" si="6"/>
        <v>95.15</v>
      </c>
      <c r="I26" s="41"/>
      <c r="J26" s="322"/>
      <c r="K26" s="29">
        <v>1034</v>
      </c>
      <c r="L26" s="325">
        <f>SUM(D190)</f>
        <v>4.5</v>
      </c>
      <c r="M26" s="325">
        <f t="shared" ref="M26:N26" si="14">SUM(E190)</f>
        <v>1.6</v>
      </c>
      <c r="N26" s="325">
        <f t="shared" si="14"/>
        <v>0</v>
      </c>
    </row>
    <row r="27" spans="1:17" ht="23.25" customHeight="1">
      <c r="A27" s="317" t="s">
        <v>194</v>
      </c>
      <c r="B27" s="324" t="s">
        <v>251</v>
      </c>
      <c r="C27" s="191">
        <v>1015</v>
      </c>
      <c r="D27" s="318">
        <f>SUM(D28:D45)</f>
        <v>96.199999999999989</v>
      </c>
      <c r="E27" s="318">
        <f>SUM(E28:E45)</f>
        <v>160</v>
      </c>
      <c r="F27" s="318">
        <f>SUM(F28:F45)</f>
        <v>181.30000000000004</v>
      </c>
      <c r="G27" s="319">
        <f t="shared" si="5"/>
        <v>21.30000000000004</v>
      </c>
      <c r="H27" s="319">
        <f t="shared" si="6"/>
        <v>113.31250000000001</v>
      </c>
      <c r="I27" s="41"/>
      <c r="K27" s="29">
        <v>1035</v>
      </c>
      <c r="L27" s="320">
        <f>SUM(D65,D89,D176,)</f>
        <v>223.6</v>
      </c>
      <c r="M27" s="320">
        <f>SUM(E65,E89,E176,)</f>
        <v>366</v>
      </c>
      <c r="N27" s="320">
        <f>SUM(F65,F89,F176,)</f>
        <v>369.7</v>
      </c>
    </row>
    <row r="28" spans="1:17" ht="24.75" customHeight="1">
      <c r="A28" s="321"/>
      <c r="B28" s="40" t="s">
        <v>163</v>
      </c>
      <c r="C28" s="260"/>
      <c r="D28" s="194"/>
      <c r="E28" s="194">
        <v>2</v>
      </c>
      <c r="F28" s="194"/>
      <c r="G28" s="315">
        <f t="shared" si="5"/>
        <v>-2</v>
      </c>
      <c r="H28" s="315">
        <f t="shared" si="6"/>
        <v>0</v>
      </c>
      <c r="I28" s="41"/>
      <c r="L28" s="320"/>
      <c r="M28" s="320"/>
      <c r="N28" s="320"/>
    </row>
    <row r="29" spans="1:17" ht="24.75" customHeight="1">
      <c r="A29" s="321"/>
      <c r="B29" s="42" t="s">
        <v>250</v>
      </c>
      <c r="C29" s="260"/>
      <c r="D29" s="194">
        <v>13.8</v>
      </c>
      <c r="E29" s="194">
        <v>20</v>
      </c>
      <c r="F29" s="194">
        <v>7.2</v>
      </c>
      <c r="G29" s="315">
        <f t="shared" si="5"/>
        <v>-12.8</v>
      </c>
      <c r="H29" s="315">
        <f t="shared" si="6"/>
        <v>36</v>
      </c>
      <c r="I29" s="41"/>
      <c r="K29" s="29">
        <v>9000</v>
      </c>
      <c r="L29" s="320">
        <f>L9+L16+L23</f>
        <v>3816.6</v>
      </c>
      <c r="M29" s="320">
        <f t="shared" ref="M29:N29" si="15">M9+M16+M23</f>
        <v>3186.2</v>
      </c>
      <c r="N29" s="320">
        <f t="shared" si="15"/>
        <v>3294.6</v>
      </c>
    </row>
    <row r="30" spans="1:17" ht="24.75" customHeight="1">
      <c r="A30" s="321"/>
      <c r="B30" s="40" t="s">
        <v>165</v>
      </c>
      <c r="C30" s="260"/>
      <c r="D30" s="194"/>
      <c r="E30" s="194">
        <v>5</v>
      </c>
      <c r="F30" s="194"/>
      <c r="G30" s="315">
        <f t="shared" si="5"/>
        <v>-5</v>
      </c>
      <c r="H30" s="315">
        <f t="shared" si="6"/>
        <v>0</v>
      </c>
      <c r="I30" s="41"/>
      <c r="K30" s="29">
        <v>9010</v>
      </c>
      <c r="L30" s="320">
        <f>L10+L17+L24</f>
        <v>9607.4</v>
      </c>
      <c r="M30" s="320">
        <f t="shared" ref="M30:N30" si="16">M10+M17+M24</f>
        <v>8330.2999999999993</v>
      </c>
      <c r="N30" s="326">
        <f t="shared" si="16"/>
        <v>8290.2000000000007</v>
      </c>
    </row>
    <row r="31" spans="1:17" ht="24.75" customHeight="1">
      <c r="A31" s="321"/>
      <c r="B31" s="40" t="s">
        <v>166</v>
      </c>
      <c r="C31" s="260"/>
      <c r="D31" s="194"/>
      <c r="E31" s="194">
        <v>20</v>
      </c>
      <c r="F31" s="194"/>
      <c r="G31" s="315">
        <f t="shared" si="5"/>
        <v>-20</v>
      </c>
      <c r="H31" s="315">
        <f t="shared" si="6"/>
        <v>0</v>
      </c>
      <c r="I31" s="41"/>
      <c r="K31" s="29">
        <v>9020</v>
      </c>
      <c r="L31" s="320">
        <f>L11+L18+L25</f>
        <v>1990.9</v>
      </c>
      <c r="M31" s="320">
        <f t="shared" ref="M31:N31" si="17">M11+M18+M25</f>
        <v>1742.1</v>
      </c>
      <c r="N31" s="326">
        <f t="shared" si="17"/>
        <v>1766.4</v>
      </c>
    </row>
    <row r="32" spans="1:17" ht="24.75" customHeight="1">
      <c r="A32" s="321"/>
      <c r="B32" s="40" t="s">
        <v>167</v>
      </c>
      <c r="C32" s="260"/>
      <c r="D32" s="194">
        <v>4.5999999999999996</v>
      </c>
      <c r="E32" s="194">
        <v>5</v>
      </c>
      <c r="F32" s="194">
        <v>5.2</v>
      </c>
      <c r="G32" s="315">
        <f t="shared" si="5"/>
        <v>0.20000000000000018</v>
      </c>
      <c r="H32" s="315">
        <f t="shared" si="6"/>
        <v>104</v>
      </c>
      <c r="I32" s="41"/>
      <c r="K32" s="29">
        <v>9030</v>
      </c>
      <c r="L32" s="320">
        <f>L12+L26</f>
        <v>488.1</v>
      </c>
      <c r="M32" s="320">
        <f t="shared" ref="M32:N32" si="18">M12+M26</f>
        <v>490.40000000000003</v>
      </c>
      <c r="N32" s="326">
        <f t="shared" si="18"/>
        <v>511.70000000000005</v>
      </c>
    </row>
    <row r="33" spans="1:14" ht="24.75" customHeight="1">
      <c r="A33" s="321"/>
      <c r="B33" s="40" t="s">
        <v>168</v>
      </c>
      <c r="C33" s="260"/>
      <c r="D33" s="194">
        <v>20</v>
      </c>
      <c r="E33" s="194">
        <v>20</v>
      </c>
      <c r="F33" s="194">
        <v>30.3</v>
      </c>
      <c r="G33" s="315">
        <f t="shared" si="5"/>
        <v>10.3</v>
      </c>
      <c r="H33" s="315">
        <f t="shared" si="6"/>
        <v>151.5</v>
      </c>
      <c r="I33" s="41"/>
      <c r="K33" s="29">
        <v>9040</v>
      </c>
      <c r="L33" s="327">
        <f>L13+L20+L27</f>
        <v>367.8</v>
      </c>
      <c r="M33" s="320">
        <f t="shared" ref="M33:N33" si="19">M13+M20+M27</f>
        <v>592.70000000000005</v>
      </c>
      <c r="N33" s="320">
        <f t="shared" si="19"/>
        <v>610.40000000000009</v>
      </c>
    </row>
    <row r="34" spans="1:14" ht="24.75" customHeight="1">
      <c r="A34" s="321"/>
      <c r="B34" s="42" t="s">
        <v>170</v>
      </c>
      <c r="C34" s="260"/>
      <c r="D34" s="194">
        <v>27.8</v>
      </c>
      <c r="E34" s="194">
        <v>20</v>
      </c>
      <c r="F34" s="194">
        <v>10.6</v>
      </c>
      <c r="G34" s="315">
        <f t="shared" si="5"/>
        <v>-9.4</v>
      </c>
      <c r="H34" s="315">
        <f t="shared" si="6"/>
        <v>53</v>
      </c>
      <c r="I34" s="41"/>
      <c r="K34" s="29">
        <v>9050</v>
      </c>
      <c r="L34" s="313">
        <f>SUM(L29:L33)</f>
        <v>16270.8</v>
      </c>
      <c r="M34" s="313">
        <f>SUM(M29:M33)</f>
        <v>14341.7</v>
      </c>
      <c r="N34" s="328">
        <f>SUM(N29:N33)</f>
        <v>14473.300000000001</v>
      </c>
    </row>
    <row r="35" spans="1:14" ht="24.75" customHeight="1">
      <c r="A35" s="321"/>
      <c r="B35" s="42" t="s">
        <v>171</v>
      </c>
      <c r="C35" s="260"/>
      <c r="D35" s="194">
        <v>1.6</v>
      </c>
      <c r="E35" s="194">
        <v>2</v>
      </c>
      <c r="F35" s="194">
        <v>4.2</v>
      </c>
      <c r="G35" s="315">
        <f t="shared" si="5"/>
        <v>2.2000000000000002</v>
      </c>
      <c r="H35" s="315">
        <f t="shared" si="6"/>
        <v>210</v>
      </c>
      <c r="I35" s="41"/>
      <c r="L35" s="329"/>
      <c r="M35" s="29"/>
      <c r="N35" s="329"/>
    </row>
    <row r="36" spans="1:14" ht="24.75" customHeight="1">
      <c r="A36" s="321"/>
      <c r="B36" s="42" t="s">
        <v>286</v>
      </c>
      <c r="C36" s="260"/>
      <c r="D36" s="194">
        <v>2.8</v>
      </c>
      <c r="E36" s="194">
        <v>2</v>
      </c>
      <c r="F36" s="194">
        <v>3</v>
      </c>
      <c r="G36" s="315">
        <f t="shared" si="5"/>
        <v>1</v>
      </c>
      <c r="H36" s="315">
        <f t="shared" si="6"/>
        <v>150</v>
      </c>
      <c r="I36" s="41"/>
    </row>
    <row r="37" spans="1:14" ht="24.75" customHeight="1">
      <c r="A37" s="321"/>
      <c r="B37" s="40" t="s">
        <v>172</v>
      </c>
      <c r="C37" s="260"/>
      <c r="D37" s="194">
        <v>11.1</v>
      </c>
      <c r="E37" s="194">
        <v>15</v>
      </c>
      <c r="F37" s="194">
        <v>12.4</v>
      </c>
      <c r="G37" s="315">
        <f t="shared" si="5"/>
        <v>-2.5999999999999996</v>
      </c>
      <c r="H37" s="315">
        <f t="shared" si="6"/>
        <v>82.666666666666671</v>
      </c>
      <c r="I37" s="41"/>
    </row>
    <row r="38" spans="1:14" ht="24.75" customHeight="1">
      <c r="A38" s="321"/>
      <c r="B38" s="40" t="s">
        <v>187</v>
      </c>
      <c r="C38" s="260"/>
      <c r="D38" s="194">
        <v>1.5</v>
      </c>
      <c r="E38" s="194">
        <v>5</v>
      </c>
      <c r="F38" s="194">
        <v>3.2</v>
      </c>
      <c r="G38" s="315">
        <f t="shared" si="5"/>
        <v>-1.7999999999999998</v>
      </c>
      <c r="H38" s="315">
        <f t="shared" si="6"/>
        <v>64</v>
      </c>
      <c r="I38" s="41"/>
    </row>
    <row r="39" spans="1:14" ht="24.75" hidden="1" customHeight="1">
      <c r="A39" s="321"/>
      <c r="B39" s="40" t="s">
        <v>188</v>
      </c>
      <c r="C39" s="260"/>
      <c r="D39" s="194"/>
      <c r="E39" s="194"/>
      <c r="F39" s="194"/>
      <c r="G39" s="315">
        <f t="shared" si="5"/>
        <v>0</v>
      </c>
      <c r="H39" s="315" t="e">
        <f t="shared" si="6"/>
        <v>#DIV/0!</v>
      </c>
      <c r="I39" s="41"/>
    </row>
    <row r="40" spans="1:14" ht="24.75" hidden="1" customHeight="1">
      <c r="A40" s="321"/>
      <c r="B40" s="40" t="s">
        <v>180</v>
      </c>
      <c r="C40" s="260"/>
      <c r="D40" s="194"/>
      <c r="E40" s="194"/>
      <c r="F40" s="194"/>
      <c r="G40" s="315">
        <f t="shared" si="5"/>
        <v>0</v>
      </c>
      <c r="H40" s="315" t="e">
        <f t="shared" si="6"/>
        <v>#DIV/0!</v>
      </c>
      <c r="I40" s="41"/>
    </row>
    <row r="41" spans="1:14" ht="24.75" customHeight="1">
      <c r="A41" s="321"/>
      <c r="B41" s="40" t="s">
        <v>173</v>
      </c>
      <c r="C41" s="260"/>
      <c r="D41" s="194">
        <v>6.5</v>
      </c>
      <c r="E41" s="194">
        <v>6</v>
      </c>
      <c r="F41" s="194">
        <v>16.3</v>
      </c>
      <c r="G41" s="315">
        <f t="shared" si="5"/>
        <v>10.3</v>
      </c>
      <c r="H41" s="315">
        <f t="shared" si="6"/>
        <v>271.66666666666669</v>
      </c>
      <c r="I41" s="41"/>
    </row>
    <row r="42" spans="1:14" ht="24.75" customHeight="1">
      <c r="A42" s="321"/>
      <c r="B42" s="40" t="s">
        <v>174</v>
      </c>
      <c r="C42" s="260"/>
      <c r="D42" s="194">
        <v>3.9</v>
      </c>
      <c r="E42" s="194">
        <v>4</v>
      </c>
      <c r="F42" s="194">
        <v>5</v>
      </c>
      <c r="G42" s="315">
        <f t="shared" si="5"/>
        <v>1</v>
      </c>
      <c r="H42" s="315">
        <f t="shared" si="6"/>
        <v>125</v>
      </c>
      <c r="I42" s="41"/>
    </row>
    <row r="43" spans="1:14" ht="24.75" customHeight="1">
      <c r="A43" s="321"/>
      <c r="B43" s="40" t="s">
        <v>321</v>
      </c>
      <c r="C43" s="260"/>
      <c r="D43" s="194"/>
      <c r="E43" s="194"/>
      <c r="F43" s="194">
        <v>45.2</v>
      </c>
      <c r="G43" s="315">
        <f t="shared" si="5"/>
        <v>45.2</v>
      </c>
      <c r="H43" s="323" t="e">
        <f t="shared" si="6"/>
        <v>#DIV/0!</v>
      </c>
      <c r="I43" s="41"/>
    </row>
    <row r="44" spans="1:14" ht="24.75" customHeight="1">
      <c r="A44" s="321"/>
      <c r="B44" s="40" t="s">
        <v>243</v>
      </c>
      <c r="C44" s="260"/>
      <c r="D44" s="194">
        <v>2.6</v>
      </c>
      <c r="E44" s="194">
        <v>4</v>
      </c>
      <c r="F44" s="194">
        <v>2.8</v>
      </c>
      <c r="G44" s="315">
        <f t="shared" si="5"/>
        <v>-1.2000000000000002</v>
      </c>
      <c r="H44" s="315">
        <f t="shared" si="6"/>
        <v>70</v>
      </c>
      <c r="I44" s="41"/>
    </row>
    <row r="45" spans="1:14" ht="45" customHeight="1">
      <c r="A45" s="321"/>
      <c r="B45" s="39" t="s">
        <v>265</v>
      </c>
      <c r="C45" s="260"/>
      <c r="D45" s="194"/>
      <c r="E45" s="194">
        <v>30</v>
      </c>
      <c r="F45" s="194">
        <v>35.9</v>
      </c>
      <c r="G45" s="315">
        <f t="shared" si="5"/>
        <v>5.8999999999999986</v>
      </c>
      <c r="H45" s="315">
        <f t="shared" si="6"/>
        <v>119.66666666666666</v>
      </c>
      <c r="I45" s="41"/>
    </row>
    <row r="46" spans="1:14" ht="27" customHeight="1">
      <c r="A46" s="316" t="s">
        <v>95</v>
      </c>
      <c r="B46" s="312" t="s">
        <v>99</v>
      </c>
      <c r="C46" s="266">
        <v>1020</v>
      </c>
      <c r="D46" s="193">
        <f>D47+D51+D52+D54+D53</f>
        <v>965.9</v>
      </c>
      <c r="E46" s="193">
        <f>E47+E51+E52+E54</f>
        <v>630.79999999999995</v>
      </c>
      <c r="F46" s="193">
        <f>F47+F51+F52+F54+F53</f>
        <v>867.40000000000009</v>
      </c>
      <c r="G46" s="310">
        <f t="shared" si="5"/>
        <v>236.60000000000014</v>
      </c>
      <c r="H46" s="310">
        <f t="shared" si="6"/>
        <v>137.50792644261259</v>
      </c>
      <c r="I46" s="41"/>
    </row>
    <row r="47" spans="1:14" ht="30.75" customHeight="1">
      <c r="A47" s="317" t="s">
        <v>195</v>
      </c>
      <c r="B47" s="190" t="s">
        <v>147</v>
      </c>
      <c r="C47" s="191">
        <v>1021</v>
      </c>
      <c r="D47" s="318">
        <f>SUM(D48:D49)</f>
        <v>49.4</v>
      </c>
      <c r="E47" s="318">
        <f>SUM(E48:E49)</f>
        <v>28</v>
      </c>
      <c r="F47" s="318">
        <f>SUM(F48:F50)</f>
        <v>34</v>
      </c>
      <c r="G47" s="319">
        <f t="shared" si="5"/>
        <v>6</v>
      </c>
      <c r="H47" s="319">
        <f t="shared" si="6"/>
        <v>121.42857142857142</v>
      </c>
      <c r="I47" s="41"/>
    </row>
    <row r="48" spans="1:14" ht="24" customHeight="1">
      <c r="A48" s="321"/>
      <c r="B48" s="42" t="s">
        <v>175</v>
      </c>
      <c r="C48" s="260"/>
      <c r="D48" s="194">
        <v>29</v>
      </c>
      <c r="E48" s="194">
        <v>10</v>
      </c>
      <c r="F48" s="194">
        <v>8.1</v>
      </c>
      <c r="G48" s="315">
        <f t="shared" si="5"/>
        <v>-1.9000000000000004</v>
      </c>
      <c r="H48" s="315">
        <f t="shared" si="6"/>
        <v>81</v>
      </c>
      <c r="I48" s="41"/>
    </row>
    <row r="49" spans="1:9" s="29" customFormat="1" ht="24" customHeight="1">
      <c r="A49" s="321"/>
      <c r="B49" s="40" t="s">
        <v>153</v>
      </c>
      <c r="C49" s="260"/>
      <c r="D49" s="194">
        <v>20.399999999999999</v>
      </c>
      <c r="E49" s="194">
        <v>18</v>
      </c>
      <c r="F49" s="194">
        <v>15.8</v>
      </c>
      <c r="G49" s="315">
        <f t="shared" si="5"/>
        <v>-2.1999999999999993</v>
      </c>
      <c r="H49" s="315">
        <f t="shared" si="6"/>
        <v>87.777777777777771</v>
      </c>
      <c r="I49" s="41"/>
    </row>
    <row r="50" spans="1:9" s="29" customFormat="1" ht="24" customHeight="1">
      <c r="A50" s="321"/>
      <c r="B50" s="40" t="s">
        <v>282</v>
      </c>
      <c r="C50" s="260"/>
      <c r="D50" s="194"/>
      <c r="E50" s="194"/>
      <c r="F50" s="194">
        <v>10.1</v>
      </c>
      <c r="G50" s="315">
        <f t="shared" si="5"/>
        <v>10.1</v>
      </c>
      <c r="H50" s="323" t="e">
        <f t="shared" si="6"/>
        <v>#DIV/0!</v>
      </c>
      <c r="I50" s="41"/>
    </row>
    <row r="51" spans="1:9" s="29" customFormat="1" ht="25.5" customHeight="1">
      <c r="A51" s="317" t="s">
        <v>196</v>
      </c>
      <c r="B51" s="324" t="s">
        <v>2</v>
      </c>
      <c r="C51" s="191">
        <v>1022</v>
      </c>
      <c r="D51" s="318">
        <v>755.9</v>
      </c>
      <c r="E51" s="318">
        <v>490.3</v>
      </c>
      <c r="F51" s="318">
        <v>672.7</v>
      </c>
      <c r="G51" s="319">
        <f t="shared" si="5"/>
        <v>182.40000000000003</v>
      </c>
      <c r="H51" s="319">
        <f t="shared" si="6"/>
        <v>137.20171323679381</v>
      </c>
      <c r="I51" s="41"/>
    </row>
    <row r="52" spans="1:9" s="29" customFormat="1" ht="25.5" customHeight="1">
      <c r="A52" s="317" t="s">
        <v>197</v>
      </c>
      <c r="B52" s="324" t="s">
        <v>3</v>
      </c>
      <c r="C52" s="191">
        <v>1023</v>
      </c>
      <c r="D52" s="318">
        <v>150.19999999999999</v>
      </c>
      <c r="E52" s="318">
        <v>102.5</v>
      </c>
      <c r="F52" s="318">
        <v>148</v>
      </c>
      <c r="G52" s="319">
        <f t="shared" si="5"/>
        <v>45.5</v>
      </c>
      <c r="H52" s="319">
        <f t="shared" si="6"/>
        <v>144.39024390243901</v>
      </c>
      <c r="I52" s="41"/>
    </row>
    <row r="53" spans="1:9" s="29" customFormat="1" ht="24.75" hidden="1" customHeight="1">
      <c r="A53" s="317" t="s">
        <v>198</v>
      </c>
      <c r="B53" s="324" t="s">
        <v>193</v>
      </c>
      <c r="C53" s="191">
        <v>1024</v>
      </c>
      <c r="D53" s="318"/>
      <c r="E53" s="318"/>
      <c r="F53" s="318"/>
      <c r="G53" s="319">
        <f t="shared" si="5"/>
        <v>0</v>
      </c>
      <c r="H53" s="330" t="e">
        <f t="shared" si="6"/>
        <v>#DIV/0!</v>
      </c>
      <c r="I53" s="41"/>
    </row>
    <row r="54" spans="1:9" s="29" customFormat="1" ht="27" customHeight="1">
      <c r="A54" s="317" t="s">
        <v>199</v>
      </c>
      <c r="B54" s="324" t="s">
        <v>200</v>
      </c>
      <c r="C54" s="191">
        <v>1025</v>
      </c>
      <c r="D54" s="318">
        <f>SUM(D55:D57)</f>
        <v>10.4</v>
      </c>
      <c r="E54" s="318">
        <f>SUM(E55:E57)</f>
        <v>10</v>
      </c>
      <c r="F54" s="318">
        <f>SUM(F55:F57)</f>
        <v>12.7</v>
      </c>
      <c r="G54" s="319">
        <f t="shared" si="5"/>
        <v>2.6999999999999993</v>
      </c>
      <c r="H54" s="319">
        <f t="shared" si="6"/>
        <v>127</v>
      </c>
      <c r="I54" s="41"/>
    </row>
    <row r="55" spans="1:9" ht="24.75" customHeight="1">
      <c r="A55" s="321"/>
      <c r="B55" s="40" t="s">
        <v>322</v>
      </c>
      <c r="C55" s="260"/>
      <c r="D55" s="194"/>
      <c r="E55" s="194"/>
      <c r="F55" s="194">
        <v>2</v>
      </c>
      <c r="G55" s="315">
        <f t="shared" si="5"/>
        <v>2</v>
      </c>
      <c r="H55" s="323" t="e">
        <f t="shared" si="6"/>
        <v>#DIV/0!</v>
      </c>
      <c r="I55" s="41"/>
    </row>
    <row r="56" spans="1:9" ht="28.5" customHeight="1">
      <c r="A56" s="321"/>
      <c r="B56" s="40" t="s">
        <v>176</v>
      </c>
      <c r="C56" s="260"/>
      <c r="D56" s="194"/>
      <c r="E56" s="194"/>
      <c r="F56" s="194">
        <v>3</v>
      </c>
      <c r="G56" s="315">
        <f t="shared" si="5"/>
        <v>3</v>
      </c>
      <c r="H56" s="323" t="e">
        <f t="shared" si="6"/>
        <v>#DIV/0!</v>
      </c>
      <c r="I56" s="41"/>
    </row>
    <row r="57" spans="1:9" ht="25.5" customHeight="1">
      <c r="A57" s="321"/>
      <c r="B57" s="42" t="s">
        <v>177</v>
      </c>
      <c r="C57" s="260"/>
      <c r="D57" s="194">
        <v>10.4</v>
      </c>
      <c r="E57" s="194">
        <v>10</v>
      </c>
      <c r="F57" s="194">
        <v>7.7</v>
      </c>
      <c r="G57" s="315">
        <f t="shared" si="5"/>
        <v>-2.2999999999999998</v>
      </c>
      <c r="H57" s="315">
        <f t="shared" si="6"/>
        <v>77</v>
      </c>
      <c r="I57" s="41"/>
    </row>
    <row r="58" spans="1:9" ht="24.75" customHeight="1">
      <c r="A58" s="316" t="s">
        <v>98</v>
      </c>
      <c r="B58" s="192" t="s">
        <v>100</v>
      </c>
      <c r="C58" s="266">
        <v>1030</v>
      </c>
      <c r="D58" s="193">
        <f>D59+D63+D64+D65</f>
        <v>2571.6</v>
      </c>
      <c r="E58" s="193">
        <f>E59+E63+E64+E65</f>
        <v>2175.5</v>
      </c>
      <c r="F58" s="193">
        <f>F63+F64+F59+F65</f>
        <v>2360.1999999999998</v>
      </c>
      <c r="G58" s="310">
        <f t="shared" si="5"/>
        <v>184.69999999999982</v>
      </c>
      <c r="H58" s="310">
        <f t="shared" si="6"/>
        <v>108.49000229832222</v>
      </c>
      <c r="I58" s="41"/>
    </row>
    <row r="59" spans="1:9" ht="24.75" customHeight="1">
      <c r="A59" s="317" t="s">
        <v>310</v>
      </c>
      <c r="B59" s="190" t="s">
        <v>147</v>
      </c>
      <c r="C59" s="191">
        <v>1031</v>
      </c>
      <c r="D59" s="318">
        <f>D60</f>
        <v>3.1</v>
      </c>
      <c r="E59" s="318">
        <f>E60+E61+E62</f>
        <v>3</v>
      </c>
      <c r="F59" s="318">
        <f>F60+F62</f>
        <v>8</v>
      </c>
      <c r="G59" s="319">
        <f t="shared" si="5"/>
        <v>5</v>
      </c>
      <c r="H59" s="319">
        <f t="shared" si="6"/>
        <v>266.66666666666663</v>
      </c>
      <c r="I59" s="41"/>
    </row>
    <row r="60" spans="1:9" ht="24.75" customHeight="1">
      <c r="A60" s="316"/>
      <c r="B60" s="42" t="s">
        <v>175</v>
      </c>
      <c r="C60" s="266"/>
      <c r="D60" s="194">
        <v>3.1</v>
      </c>
      <c r="E60" s="194">
        <v>2</v>
      </c>
      <c r="F60" s="194">
        <v>6.8</v>
      </c>
      <c r="G60" s="315">
        <f t="shared" si="5"/>
        <v>4.8</v>
      </c>
      <c r="H60" s="310">
        <f t="shared" si="6"/>
        <v>340</v>
      </c>
      <c r="I60" s="41"/>
    </row>
    <row r="61" spans="1:9" ht="24.75" customHeight="1">
      <c r="A61" s="316"/>
      <c r="B61" s="42" t="s">
        <v>296</v>
      </c>
      <c r="C61" s="266"/>
      <c r="D61" s="194"/>
      <c r="E61" s="194">
        <v>1</v>
      </c>
      <c r="F61" s="194"/>
      <c r="G61" s="315">
        <f t="shared" si="5"/>
        <v>-1</v>
      </c>
      <c r="H61" s="310">
        <f t="shared" si="6"/>
        <v>0</v>
      </c>
      <c r="I61" s="41"/>
    </row>
    <row r="62" spans="1:9" ht="24.75" customHeight="1">
      <c r="A62" s="316"/>
      <c r="B62" s="40" t="s">
        <v>153</v>
      </c>
      <c r="C62" s="266"/>
      <c r="D62" s="194"/>
      <c r="E62" s="194"/>
      <c r="F62" s="194">
        <v>1.2</v>
      </c>
      <c r="G62" s="315">
        <f t="shared" si="5"/>
        <v>1.2</v>
      </c>
      <c r="H62" s="331" t="e">
        <f t="shared" si="6"/>
        <v>#DIV/0!</v>
      </c>
      <c r="I62" s="41"/>
    </row>
    <row r="63" spans="1:9" ht="24" customHeight="1">
      <c r="A63" s="317" t="s">
        <v>201</v>
      </c>
      <c r="B63" s="324" t="s">
        <v>2</v>
      </c>
      <c r="C63" s="191">
        <v>1032</v>
      </c>
      <c r="D63" s="318">
        <v>2065.4</v>
      </c>
      <c r="E63" s="318">
        <v>1781.2</v>
      </c>
      <c r="F63" s="318">
        <v>1875.7</v>
      </c>
      <c r="G63" s="319">
        <f t="shared" si="5"/>
        <v>94.5</v>
      </c>
      <c r="H63" s="319">
        <f t="shared" si="6"/>
        <v>105.30541208174265</v>
      </c>
      <c r="I63" s="41"/>
    </row>
    <row r="64" spans="1:9" ht="23.25" customHeight="1">
      <c r="A64" s="317" t="s">
        <v>202</v>
      </c>
      <c r="B64" s="324" t="s">
        <v>3</v>
      </c>
      <c r="C64" s="191">
        <v>1033</v>
      </c>
      <c r="D64" s="318">
        <v>463.1</v>
      </c>
      <c r="E64" s="318">
        <v>372.3</v>
      </c>
      <c r="F64" s="318">
        <v>442.5</v>
      </c>
      <c r="G64" s="319">
        <f t="shared" si="5"/>
        <v>70.199999999999989</v>
      </c>
      <c r="H64" s="319">
        <f t="shared" si="6"/>
        <v>118.85576148267525</v>
      </c>
      <c r="I64" s="41"/>
    </row>
    <row r="65" spans="1:11" ht="25.5" customHeight="1">
      <c r="A65" s="316" t="s">
        <v>203</v>
      </c>
      <c r="B65" s="192" t="s">
        <v>100</v>
      </c>
      <c r="C65" s="266">
        <v>1035</v>
      </c>
      <c r="D65" s="193">
        <f>SUM(D66:D72)</f>
        <v>40</v>
      </c>
      <c r="E65" s="193">
        <f>SUM(E66:E72)</f>
        <v>19</v>
      </c>
      <c r="F65" s="193">
        <f>SUM(F66:F74)</f>
        <v>34</v>
      </c>
      <c r="G65" s="310">
        <f t="shared" si="5"/>
        <v>15</v>
      </c>
      <c r="H65" s="310">
        <f t="shared" si="6"/>
        <v>178.94736842105263</v>
      </c>
      <c r="I65" s="41"/>
    </row>
    <row r="66" spans="1:11" ht="21" customHeight="1">
      <c r="A66" s="321"/>
      <c r="B66" s="42" t="s">
        <v>253</v>
      </c>
      <c r="C66" s="260"/>
      <c r="D66" s="194">
        <v>9.6</v>
      </c>
      <c r="E66" s="194">
        <v>9</v>
      </c>
      <c r="F66" s="194">
        <v>8.6999999999999993</v>
      </c>
      <c r="G66" s="315">
        <f t="shared" si="5"/>
        <v>-0.30000000000000071</v>
      </c>
      <c r="H66" s="315">
        <f t="shared" si="6"/>
        <v>96.666666666666657</v>
      </c>
      <c r="I66" s="41"/>
    </row>
    <row r="67" spans="1:11" ht="22.5" customHeight="1">
      <c r="A67" s="321"/>
      <c r="B67" s="42" t="s">
        <v>184</v>
      </c>
      <c r="C67" s="260"/>
      <c r="D67" s="194">
        <v>4.5999999999999996</v>
      </c>
      <c r="E67" s="194">
        <v>6</v>
      </c>
      <c r="F67" s="194">
        <v>6.7</v>
      </c>
      <c r="G67" s="315">
        <f t="shared" si="5"/>
        <v>0.70000000000000018</v>
      </c>
      <c r="H67" s="315">
        <f t="shared" si="6"/>
        <v>111.66666666666667</v>
      </c>
      <c r="I67" s="41"/>
    </row>
    <row r="68" spans="1:11" ht="21" customHeight="1">
      <c r="A68" s="321"/>
      <c r="B68" s="42" t="s">
        <v>185</v>
      </c>
      <c r="C68" s="260"/>
      <c r="D68" s="194">
        <v>1</v>
      </c>
      <c r="E68" s="194">
        <v>2</v>
      </c>
      <c r="F68" s="194">
        <v>1.5</v>
      </c>
      <c r="G68" s="315">
        <f t="shared" si="5"/>
        <v>-0.5</v>
      </c>
      <c r="H68" s="315">
        <f t="shared" si="6"/>
        <v>75</v>
      </c>
      <c r="I68" s="41"/>
    </row>
    <row r="69" spans="1:11" ht="21" customHeight="1">
      <c r="A69" s="321"/>
      <c r="B69" s="42" t="s">
        <v>177</v>
      </c>
      <c r="C69" s="260"/>
      <c r="D69" s="194"/>
      <c r="E69" s="194">
        <v>2</v>
      </c>
      <c r="F69" s="194"/>
      <c r="G69" s="315">
        <f t="shared" si="5"/>
        <v>-2</v>
      </c>
      <c r="H69" s="315">
        <f t="shared" si="6"/>
        <v>0</v>
      </c>
      <c r="I69" s="41"/>
    </row>
    <row r="70" spans="1:11" ht="24" customHeight="1">
      <c r="A70" s="321"/>
      <c r="B70" s="42" t="s">
        <v>284</v>
      </c>
      <c r="C70" s="260"/>
      <c r="D70" s="194">
        <v>5.6</v>
      </c>
      <c r="E70" s="194"/>
      <c r="F70" s="194"/>
      <c r="G70" s="315">
        <f t="shared" si="5"/>
        <v>0</v>
      </c>
      <c r="H70" s="323" t="e">
        <f t="shared" si="6"/>
        <v>#DIV/0!</v>
      </c>
      <c r="I70" s="41"/>
    </row>
    <row r="71" spans="1:11" ht="24.75" customHeight="1">
      <c r="A71" s="321"/>
      <c r="B71" s="42" t="s">
        <v>300</v>
      </c>
      <c r="C71" s="260"/>
      <c r="D71" s="194">
        <v>9.3000000000000007</v>
      </c>
      <c r="E71" s="194"/>
      <c r="F71" s="194"/>
      <c r="G71" s="315">
        <f t="shared" si="5"/>
        <v>0</v>
      </c>
      <c r="H71" s="323" t="e">
        <f t="shared" si="6"/>
        <v>#DIV/0!</v>
      </c>
      <c r="I71" s="41"/>
    </row>
    <row r="72" spans="1:11" ht="22.5" customHeight="1">
      <c r="A72" s="321"/>
      <c r="B72" s="42" t="s">
        <v>187</v>
      </c>
      <c r="C72" s="260"/>
      <c r="D72" s="194">
        <v>9.9</v>
      </c>
      <c r="E72" s="194"/>
      <c r="F72" s="194"/>
      <c r="G72" s="315">
        <f t="shared" si="5"/>
        <v>0</v>
      </c>
      <c r="H72" s="323" t="e">
        <f t="shared" si="6"/>
        <v>#DIV/0!</v>
      </c>
      <c r="I72" s="41"/>
    </row>
    <row r="73" spans="1:11" ht="22.5" customHeight="1">
      <c r="A73" s="321"/>
      <c r="B73" s="42" t="s">
        <v>323</v>
      </c>
      <c r="C73" s="260"/>
      <c r="D73" s="194"/>
      <c r="E73" s="194"/>
      <c r="F73" s="194">
        <v>14</v>
      </c>
      <c r="G73" s="315">
        <f t="shared" si="5"/>
        <v>14</v>
      </c>
      <c r="H73" s="323" t="e">
        <f t="shared" si="6"/>
        <v>#DIV/0!</v>
      </c>
      <c r="I73" s="41"/>
    </row>
    <row r="74" spans="1:11" ht="22.5" customHeight="1">
      <c r="A74" s="321"/>
      <c r="B74" s="42" t="s">
        <v>324</v>
      </c>
      <c r="C74" s="260"/>
      <c r="D74" s="194"/>
      <c r="E74" s="194"/>
      <c r="F74" s="194">
        <v>3.1</v>
      </c>
      <c r="G74" s="315">
        <f t="shared" si="5"/>
        <v>3.1</v>
      </c>
      <c r="H74" s="323" t="e">
        <f t="shared" si="6"/>
        <v>#DIV/0!</v>
      </c>
      <c r="I74" s="41"/>
    </row>
    <row r="75" spans="1:11" ht="27.75" customHeight="1">
      <c r="A75" s="332" t="s">
        <v>101</v>
      </c>
      <c r="B75" s="192" t="s">
        <v>204</v>
      </c>
      <c r="C75" s="266"/>
      <c r="D75" s="193">
        <f>SUM(D77,D86,)</f>
        <v>1091.3</v>
      </c>
      <c r="E75" s="193">
        <f>SUM(E77,E86,)</f>
        <v>1710.2000000000003</v>
      </c>
      <c r="F75" s="193">
        <f>SUM(F77,F86,)</f>
        <v>1627.8000000000002</v>
      </c>
      <c r="G75" s="310">
        <f t="shared" ref="G75:G138" si="20">F75-E75</f>
        <v>-82.400000000000091</v>
      </c>
      <c r="H75" s="310">
        <f t="shared" ref="H75:H138" si="21">(F75/E75)*100</f>
        <v>95.181850076014499</v>
      </c>
      <c r="I75" s="41"/>
      <c r="J75" s="322">
        <f>F75+F92+F106+F133+F145</f>
        <v>2966.3</v>
      </c>
      <c r="K75" s="329"/>
    </row>
    <row r="76" spans="1:11" ht="24" customHeight="1">
      <c r="A76" s="267"/>
      <c r="B76" s="314" t="s">
        <v>93</v>
      </c>
      <c r="C76" s="260"/>
      <c r="D76" s="194"/>
      <c r="E76" s="315"/>
      <c r="F76" s="194"/>
      <c r="G76" s="310"/>
      <c r="H76" s="315"/>
      <c r="I76" s="41"/>
      <c r="J76" s="322"/>
    </row>
    <row r="77" spans="1:11" ht="23.25" customHeight="1">
      <c r="A77" s="316" t="s">
        <v>102</v>
      </c>
      <c r="B77" s="285" t="s">
        <v>97</v>
      </c>
      <c r="C77" s="266">
        <v>1010</v>
      </c>
      <c r="D77" s="193">
        <f>D78+D84</f>
        <v>934.59999999999991</v>
      </c>
      <c r="E77" s="310">
        <f>E78+E84</f>
        <v>1321.8000000000002</v>
      </c>
      <c r="F77" s="193">
        <f>F78+F84</f>
        <v>1321.8000000000002</v>
      </c>
      <c r="G77" s="310">
        <f t="shared" si="20"/>
        <v>0</v>
      </c>
      <c r="H77" s="310">
        <f t="shared" si="21"/>
        <v>100</v>
      </c>
      <c r="I77" s="41"/>
    </row>
    <row r="78" spans="1:11" ht="24" customHeight="1">
      <c r="A78" s="317" t="s">
        <v>205</v>
      </c>
      <c r="B78" s="190" t="s">
        <v>147</v>
      </c>
      <c r="C78" s="191">
        <v>1011</v>
      </c>
      <c r="D78" s="318">
        <f>SUM(D79:D83)</f>
        <v>899.8</v>
      </c>
      <c r="E78" s="318">
        <f>SUM(E79:E83)</f>
        <v>1275.1000000000001</v>
      </c>
      <c r="F78" s="318">
        <f>SUM(F79:F83)</f>
        <v>1275.1000000000001</v>
      </c>
      <c r="G78" s="319">
        <f t="shared" si="20"/>
        <v>0</v>
      </c>
      <c r="H78" s="319">
        <f t="shared" si="21"/>
        <v>100</v>
      </c>
      <c r="I78" s="41"/>
    </row>
    <row r="79" spans="1:11" ht="24" customHeight="1">
      <c r="A79" s="316"/>
      <c r="B79" s="42" t="s">
        <v>179</v>
      </c>
      <c r="C79" s="266"/>
      <c r="D79" s="194">
        <v>504.8</v>
      </c>
      <c r="E79" s="315">
        <v>575.29999999999995</v>
      </c>
      <c r="F79" s="194">
        <v>575.29999999999995</v>
      </c>
      <c r="G79" s="315">
        <f t="shared" si="20"/>
        <v>0</v>
      </c>
      <c r="H79" s="315">
        <f t="shared" si="21"/>
        <v>100</v>
      </c>
      <c r="I79" s="41"/>
    </row>
    <row r="80" spans="1:11" ht="22.5" customHeight="1">
      <c r="A80" s="316"/>
      <c r="B80" s="42" t="s">
        <v>158</v>
      </c>
      <c r="C80" s="266"/>
      <c r="D80" s="194">
        <v>9.6</v>
      </c>
      <c r="E80" s="315">
        <v>15.6</v>
      </c>
      <c r="F80" s="194">
        <v>15.6</v>
      </c>
      <c r="G80" s="315">
        <f t="shared" si="20"/>
        <v>0</v>
      </c>
      <c r="H80" s="315">
        <f t="shared" si="21"/>
        <v>100</v>
      </c>
      <c r="I80" s="41"/>
    </row>
    <row r="81" spans="1:11" ht="25.5" customHeight="1">
      <c r="A81" s="316"/>
      <c r="B81" s="42" t="s">
        <v>159</v>
      </c>
      <c r="C81" s="266"/>
      <c r="D81" s="194">
        <v>321.5</v>
      </c>
      <c r="E81" s="315">
        <v>617</v>
      </c>
      <c r="F81" s="194">
        <v>617</v>
      </c>
      <c r="G81" s="315">
        <f t="shared" si="20"/>
        <v>0</v>
      </c>
      <c r="H81" s="315">
        <f t="shared" si="21"/>
        <v>100</v>
      </c>
      <c r="I81" s="41"/>
    </row>
    <row r="82" spans="1:11" ht="27.75" customHeight="1">
      <c r="A82" s="316"/>
      <c r="B82" s="42" t="s">
        <v>160</v>
      </c>
      <c r="C82" s="266"/>
      <c r="D82" s="194">
        <v>53.9</v>
      </c>
      <c r="E82" s="315">
        <v>58.2</v>
      </c>
      <c r="F82" s="194">
        <v>58.2</v>
      </c>
      <c r="G82" s="315">
        <f t="shared" si="20"/>
        <v>0</v>
      </c>
      <c r="H82" s="315">
        <f t="shared" si="21"/>
        <v>100</v>
      </c>
      <c r="I82" s="41"/>
    </row>
    <row r="83" spans="1:11" ht="21.75" customHeight="1">
      <c r="A83" s="267"/>
      <c r="B83" s="42" t="s">
        <v>161</v>
      </c>
      <c r="C83" s="260"/>
      <c r="D83" s="194">
        <v>10</v>
      </c>
      <c r="E83" s="315">
        <v>9</v>
      </c>
      <c r="F83" s="194">
        <v>9</v>
      </c>
      <c r="G83" s="315">
        <f t="shared" si="20"/>
        <v>0</v>
      </c>
      <c r="H83" s="315">
        <f t="shared" si="21"/>
        <v>100</v>
      </c>
      <c r="I83" s="41"/>
    </row>
    <row r="84" spans="1:11" ht="22.5" customHeight="1">
      <c r="A84" s="317" t="s">
        <v>346</v>
      </c>
      <c r="B84" s="324" t="s">
        <v>251</v>
      </c>
      <c r="C84" s="191">
        <v>1015</v>
      </c>
      <c r="D84" s="318">
        <f t="shared" ref="D84:F84" si="22">D85</f>
        <v>34.799999999999997</v>
      </c>
      <c r="E84" s="318">
        <f t="shared" si="22"/>
        <v>46.7</v>
      </c>
      <c r="F84" s="318">
        <f t="shared" si="22"/>
        <v>46.7</v>
      </c>
      <c r="G84" s="319">
        <f t="shared" si="20"/>
        <v>0</v>
      </c>
      <c r="H84" s="319">
        <f t="shared" si="21"/>
        <v>100</v>
      </c>
      <c r="I84" s="41"/>
    </row>
    <row r="85" spans="1:11" ht="24.75" customHeight="1">
      <c r="A85" s="316"/>
      <c r="B85" s="42" t="s">
        <v>169</v>
      </c>
      <c r="C85" s="266"/>
      <c r="D85" s="194">
        <v>34.799999999999997</v>
      </c>
      <c r="E85" s="315">
        <v>46.7</v>
      </c>
      <c r="F85" s="194">
        <v>46.7</v>
      </c>
      <c r="G85" s="315">
        <f t="shared" si="20"/>
        <v>0</v>
      </c>
      <c r="H85" s="310">
        <f t="shared" si="21"/>
        <v>100</v>
      </c>
      <c r="I85" s="41"/>
    </row>
    <row r="86" spans="1:11" ht="24.75" customHeight="1">
      <c r="A86" s="316" t="s">
        <v>103</v>
      </c>
      <c r="B86" s="192" t="s">
        <v>100</v>
      </c>
      <c r="C86" s="266">
        <v>1030</v>
      </c>
      <c r="D86" s="193">
        <f>D89+D87</f>
        <v>156.69999999999999</v>
      </c>
      <c r="E86" s="310">
        <f>E89+E87</f>
        <v>388.4</v>
      </c>
      <c r="F86" s="193">
        <f>F89+F87</f>
        <v>306</v>
      </c>
      <c r="G86" s="310">
        <f t="shared" si="20"/>
        <v>-82.399999999999977</v>
      </c>
      <c r="H86" s="310">
        <f t="shared" si="21"/>
        <v>78.78475798146242</v>
      </c>
      <c r="I86" s="41"/>
    </row>
    <row r="87" spans="1:11" ht="29.25" customHeight="1">
      <c r="A87" s="317" t="s">
        <v>241</v>
      </c>
      <c r="B87" s="190" t="s">
        <v>147</v>
      </c>
      <c r="C87" s="191">
        <v>1031</v>
      </c>
      <c r="D87" s="318">
        <f>SUM(D88:D88)</f>
        <v>0</v>
      </c>
      <c r="E87" s="319">
        <f>SUM(E88:E88)</f>
        <v>82.4</v>
      </c>
      <c r="F87" s="318">
        <f>SUM(F88:F88)</f>
        <v>0</v>
      </c>
      <c r="G87" s="319">
        <f t="shared" si="20"/>
        <v>-82.4</v>
      </c>
      <c r="H87" s="319">
        <f t="shared" si="21"/>
        <v>0</v>
      </c>
      <c r="I87" s="41"/>
    </row>
    <row r="88" spans="1:11" ht="45" customHeight="1">
      <c r="A88" s="321"/>
      <c r="B88" s="42" t="s">
        <v>181</v>
      </c>
      <c r="C88" s="266"/>
      <c r="D88" s="194"/>
      <c r="E88" s="315">
        <v>82.4</v>
      </c>
      <c r="F88" s="194"/>
      <c r="G88" s="315">
        <f t="shared" si="20"/>
        <v>-82.4</v>
      </c>
      <c r="H88" s="315">
        <f t="shared" si="21"/>
        <v>0</v>
      </c>
      <c r="I88" s="41"/>
    </row>
    <row r="89" spans="1:11" s="334" customFormat="1" ht="24" customHeight="1">
      <c r="A89" s="317" t="s">
        <v>206</v>
      </c>
      <c r="B89" s="324" t="s">
        <v>100</v>
      </c>
      <c r="C89" s="191">
        <v>1035</v>
      </c>
      <c r="D89" s="318">
        <f>SUM(D90:D91)</f>
        <v>156.69999999999999</v>
      </c>
      <c r="E89" s="318">
        <f>SUM(E90:E91)</f>
        <v>306</v>
      </c>
      <c r="F89" s="318">
        <f>SUM(F90:F91)</f>
        <v>306</v>
      </c>
      <c r="G89" s="319">
        <f t="shared" si="20"/>
        <v>0</v>
      </c>
      <c r="H89" s="319">
        <f t="shared" si="21"/>
        <v>100</v>
      </c>
      <c r="I89" s="333">
        <f>SUM(I90:I91)</f>
        <v>0</v>
      </c>
      <c r="K89" s="335"/>
    </row>
    <row r="90" spans="1:11" ht="27.75" customHeight="1">
      <c r="A90" s="267"/>
      <c r="B90" s="42" t="s">
        <v>318</v>
      </c>
      <c r="C90" s="260"/>
      <c r="D90" s="194"/>
      <c r="E90" s="315">
        <v>61.9</v>
      </c>
      <c r="F90" s="194">
        <v>61.9</v>
      </c>
      <c r="G90" s="315">
        <f t="shared" si="20"/>
        <v>0</v>
      </c>
      <c r="H90" s="315">
        <f t="shared" si="21"/>
        <v>100</v>
      </c>
      <c r="I90" s="41"/>
    </row>
    <row r="91" spans="1:11" ht="23.25" customHeight="1">
      <c r="A91" s="267"/>
      <c r="B91" s="42" t="s">
        <v>189</v>
      </c>
      <c r="C91" s="260"/>
      <c r="D91" s="194">
        <v>156.69999999999999</v>
      </c>
      <c r="E91" s="315">
        <v>244.1</v>
      </c>
      <c r="F91" s="194">
        <v>244.1</v>
      </c>
      <c r="G91" s="315">
        <f t="shared" si="20"/>
        <v>0</v>
      </c>
      <c r="H91" s="315">
        <f t="shared" si="21"/>
        <v>100</v>
      </c>
      <c r="I91" s="41"/>
    </row>
    <row r="92" spans="1:11" ht="27.75" customHeight="1">
      <c r="A92" s="332" t="s">
        <v>113</v>
      </c>
      <c r="B92" s="285" t="s">
        <v>266</v>
      </c>
      <c r="C92" s="260"/>
      <c r="D92" s="193">
        <f>D94+D103</f>
        <v>271.8</v>
      </c>
      <c r="E92" s="315"/>
      <c r="F92" s="193">
        <f>F94+F103</f>
        <v>276.39999999999998</v>
      </c>
      <c r="G92" s="310">
        <f t="shared" si="20"/>
        <v>276.39999999999998</v>
      </c>
      <c r="H92" s="323" t="e">
        <f t="shared" si="21"/>
        <v>#DIV/0!</v>
      </c>
      <c r="I92" s="41"/>
      <c r="J92" s="322"/>
    </row>
    <row r="93" spans="1:11" ht="25.5" customHeight="1">
      <c r="A93" s="267"/>
      <c r="B93" s="314" t="s">
        <v>93</v>
      </c>
      <c r="C93" s="260"/>
      <c r="D93" s="194"/>
      <c r="E93" s="315"/>
      <c r="F93" s="194"/>
      <c r="G93" s="310"/>
      <c r="H93" s="323"/>
      <c r="I93" s="41"/>
    </row>
    <row r="94" spans="1:11" ht="27" customHeight="1">
      <c r="A94" s="336" t="s">
        <v>114</v>
      </c>
      <c r="B94" s="285" t="s">
        <v>97</v>
      </c>
      <c r="C94" s="266">
        <v>1010</v>
      </c>
      <c r="D94" s="193">
        <f>D95+D101</f>
        <v>25.599999999999998</v>
      </c>
      <c r="E94" s="315"/>
      <c r="F94" s="193">
        <f>F95+F101</f>
        <v>10</v>
      </c>
      <c r="G94" s="310">
        <f t="shared" si="20"/>
        <v>10</v>
      </c>
      <c r="H94" s="323" t="e">
        <f t="shared" si="21"/>
        <v>#DIV/0!</v>
      </c>
      <c r="I94" s="41"/>
    </row>
    <row r="95" spans="1:11" s="334" customFormat="1" ht="24" customHeight="1">
      <c r="A95" s="337" t="s">
        <v>207</v>
      </c>
      <c r="B95" s="338" t="s">
        <v>147</v>
      </c>
      <c r="C95" s="191">
        <v>1011</v>
      </c>
      <c r="D95" s="318">
        <f>SUM(D96:D100)</f>
        <v>25.599999999999998</v>
      </c>
      <c r="E95" s="330"/>
      <c r="F95" s="318">
        <f>SUM(F96:F100)</f>
        <v>10</v>
      </c>
      <c r="G95" s="319">
        <f t="shared" si="20"/>
        <v>10</v>
      </c>
      <c r="H95" s="339" t="e">
        <f t="shared" si="21"/>
        <v>#DIV/0!</v>
      </c>
      <c r="I95" s="340"/>
      <c r="K95" s="335"/>
    </row>
    <row r="96" spans="1:11" ht="21.75" customHeight="1">
      <c r="A96" s="267"/>
      <c r="B96" s="42" t="s">
        <v>149</v>
      </c>
      <c r="C96" s="260"/>
      <c r="D96" s="194"/>
      <c r="E96" s="315"/>
      <c r="F96" s="194">
        <v>8</v>
      </c>
      <c r="G96" s="315">
        <f t="shared" si="20"/>
        <v>8</v>
      </c>
      <c r="H96" s="323" t="e">
        <f t="shared" si="21"/>
        <v>#DIV/0!</v>
      </c>
      <c r="I96" s="41"/>
    </row>
    <row r="97" spans="1:11" ht="23.25" customHeight="1">
      <c r="A97" s="267"/>
      <c r="B97" s="42" t="s">
        <v>162</v>
      </c>
      <c r="C97" s="260"/>
      <c r="D97" s="194">
        <v>0.8</v>
      </c>
      <c r="E97" s="315"/>
      <c r="F97" s="194">
        <v>1.4</v>
      </c>
      <c r="G97" s="315">
        <f t="shared" si="20"/>
        <v>1.4</v>
      </c>
      <c r="H97" s="323" t="e">
        <f t="shared" si="21"/>
        <v>#DIV/0!</v>
      </c>
      <c r="I97" s="41"/>
    </row>
    <row r="98" spans="1:11" ht="21.75" customHeight="1">
      <c r="A98" s="267"/>
      <c r="B98" s="42" t="s">
        <v>209</v>
      </c>
      <c r="C98" s="260"/>
      <c r="D98" s="194">
        <v>1.1000000000000001</v>
      </c>
      <c r="E98" s="315"/>
      <c r="F98" s="194">
        <v>0.5</v>
      </c>
      <c r="G98" s="315">
        <f t="shared" si="20"/>
        <v>0.5</v>
      </c>
      <c r="H98" s="323" t="e">
        <f t="shared" si="21"/>
        <v>#DIV/0!</v>
      </c>
      <c r="I98" s="41"/>
    </row>
    <row r="99" spans="1:11" ht="23.25" customHeight="1">
      <c r="A99" s="267"/>
      <c r="B99" s="42" t="s">
        <v>148</v>
      </c>
      <c r="C99" s="260"/>
      <c r="D99" s="194">
        <v>22.8</v>
      </c>
      <c r="E99" s="315"/>
      <c r="F99" s="194"/>
      <c r="G99" s="315">
        <f t="shared" si="20"/>
        <v>0</v>
      </c>
      <c r="H99" s="323" t="e">
        <f t="shared" si="21"/>
        <v>#DIV/0!</v>
      </c>
      <c r="I99" s="41"/>
    </row>
    <row r="100" spans="1:11" ht="26.25" customHeight="1">
      <c r="A100" s="267"/>
      <c r="B100" s="42" t="s">
        <v>240</v>
      </c>
      <c r="C100" s="260"/>
      <c r="D100" s="194">
        <v>0.9</v>
      </c>
      <c r="E100" s="315"/>
      <c r="F100" s="194">
        <v>0.1</v>
      </c>
      <c r="G100" s="315">
        <f t="shared" si="20"/>
        <v>0.1</v>
      </c>
      <c r="H100" s="323" t="e">
        <f t="shared" si="21"/>
        <v>#DIV/0!</v>
      </c>
      <c r="I100" s="41"/>
    </row>
    <row r="101" spans="1:11" s="334" customFormat="1" ht="21.75" hidden="1" customHeight="1">
      <c r="A101" s="317" t="s">
        <v>267</v>
      </c>
      <c r="B101" s="338" t="s">
        <v>251</v>
      </c>
      <c r="C101" s="191">
        <v>1015</v>
      </c>
      <c r="D101" s="318">
        <f>D102</f>
        <v>0</v>
      </c>
      <c r="E101" s="330"/>
      <c r="F101" s="318">
        <f>F102</f>
        <v>0</v>
      </c>
      <c r="G101" s="319">
        <f t="shared" si="20"/>
        <v>0</v>
      </c>
      <c r="H101" s="339" t="e">
        <f t="shared" si="21"/>
        <v>#DIV/0!</v>
      </c>
      <c r="I101" s="340"/>
      <c r="K101" s="335"/>
    </row>
    <row r="102" spans="1:11" ht="22.5" hidden="1" customHeight="1">
      <c r="A102" s="321"/>
      <c r="B102" s="42" t="s">
        <v>186</v>
      </c>
      <c r="C102" s="260"/>
      <c r="D102" s="194"/>
      <c r="E102" s="315"/>
      <c r="F102" s="194"/>
      <c r="G102" s="310">
        <f t="shared" si="20"/>
        <v>0</v>
      </c>
      <c r="H102" s="323" t="e">
        <f t="shared" si="21"/>
        <v>#DIV/0!</v>
      </c>
      <c r="I102" s="41"/>
    </row>
    <row r="103" spans="1:11" ht="26.25" customHeight="1">
      <c r="A103" s="316" t="s">
        <v>268</v>
      </c>
      <c r="B103" s="192" t="s">
        <v>100</v>
      </c>
      <c r="C103" s="266">
        <v>1030</v>
      </c>
      <c r="D103" s="193">
        <f>D104</f>
        <v>246.2</v>
      </c>
      <c r="E103" s="315"/>
      <c r="F103" s="193">
        <f>F104</f>
        <v>266.39999999999998</v>
      </c>
      <c r="G103" s="310">
        <f t="shared" si="20"/>
        <v>266.39999999999998</v>
      </c>
      <c r="H103" s="323" t="e">
        <f t="shared" si="21"/>
        <v>#DIV/0!</v>
      </c>
      <c r="I103" s="41"/>
    </row>
    <row r="104" spans="1:11" s="334" customFormat="1" ht="24" customHeight="1">
      <c r="A104" s="317" t="s">
        <v>269</v>
      </c>
      <c r="B104" s="190" t="s">
        <v>147</v>
      </c>
      <c r="C104" s="191">
        <v>1031</v>
      </c>
      <c r="D104" s="318">
        <f>SUM(D105:D105)</f>
        <v>246.2</v>
      </c>
      <c r="E104" s="330"/>
      <c r="F104" s="318">
        <f>SUM(F105:F105)</f>
        <v>266.39999999999998</v>
      </c>
      <c r="G104" s="319">
        <f t="shared" si="20"/>
        <v>266.39999999999998</v>
      </c>
      <c r="H104" s="339" t="e">
        <f t="shared" si="21"/>
        <v>#DIV/0!</v>
      </c>
      <c r="I104" s="340"/>
      <c r="K104" s="335"/>
    </row>
    <row r="105" spans="1:11" ht="44.25" customHeight="1">
      <c r="A105" s="321"/>
      <c r="B105" s="42" t="s">
        <v>181</v>
      </c>
      <c r="C105" s="266"/>
      <c r="D105" s="194">
        <v>246.2</v>
      </c>
      <c r="E105" s="315"/>
      <c r="F105" s="194">
        <v>266.39999999999998</v>
      </c>
      <c r="G105" s="315">
        <f t="shared" si="20"/>
        <v>266.39999999999998</v>
      </c>
      <c r="H105" s="323" t="e">
        <f t="shared" si="21"/>
        <v>#DIV/0!</v>
      </c>
      <c r="I105" s="41"/>
    </row>
    <row r="106" spans="1:11" ht="49.5" customHeight="1">
      <c r="A106" s="174" t="s">
        <v>327</v>
      </c>
      <c r="B106" s="341" t="s">
        <v>208</v>
      </c>
      <c r="C106" s="342"/>
      <c r="D106" s="193">
        <f>SUM(D111)+D108</f>
        <v>0.7</v>
      </c>
      <c r="E106" s="310">
        <f>SUM(E111)</f>
        <v>0.2</v>
      </c>
      <c r="F106" s="193">
        <f>SUM(F111)+F108</f>
        <v>0.8</v>
      </c>
      <c r="G106" s="310">
        <f t="shared" si="20"/>
        <v>0.60000000000000009</v>
      </c>
      <c r="H106" s="310">
        <f t="shared" si="21"/>
        <v>400</v>
      </c>
      <c r="I106" s="41"/>
    </row>
    <row r="107" spans="1:11" ht="28.5" customHeight="1">
      <c r="A107" s="174"/>
      <c r="B107" s="343" t="s">
        <v>93</v>
      </c>
      <c r="C107" s="342"/>
      <c r="D107" s="193"/>
      <c r="E107" s="310"/>
      <c r="F107" s="193"/>
      <c r="G107" s="310"/>
      <c r="H107" s="310"/>
      <c r="I107" s="41"/>
    </row>
    <row r="108" spans="1:11" ht="24.75" hidden="1" customHeight="1">
      <c r="A108" s="174" t="s">
        <v>302</v>
      </c>
      <c r="B108" s="285" t="s">
        <v>97</v>
      </c>
      <c r="C108" s="266">
        <v>1010</v>
      </c>
      <c r="D108" s="193">
        <f>D109</f>
        <v>0</v>
      </c>
      <c r="E108" s="194">
        <f>E109+E110</f>
        <v>0</v>
      </c>
      <c r="F108" s="193">
        <f>F109</f>
        <v>0</v>
      </c>
      <c r="G108" s="310">
        <f t="shared" si="20"/>
        <v>0</v>
      </c>
      <c r="H108" s="310" t="e">
        <f t="shared" si="21"/>
        <v>#DIV/0!</v>
      </c>
      <c r="I108" s="41"/>
    </row>
    <row r="109" spans="1:11" s="334" customFormat="1" ht="24.75" hidden="1" customHeight="1">
      <c r="A109" s="189" t="s">
        <v>303</v>
      </c>
      <c r="B109" s="324" t="s">
        <v>147</v>
      </c>
      <c r="C109" s="191">
        <v>1011</v>
      </c>
      <c r="D109" s="318">
        <f>D110</f>
        <v>0</v>
      </c>
      <c r="E109" s="318"/>
      <c r="F109" s="318">
        <f>F110</f>
        <v>0</v>
      </c>
      <c r="G109" s="319">
        <f t="shared" si="20"/>
        <v>0</v>
      </c>
      <c r="H109" s="319" t="e">
        <f t="shared" si="21"/>
        <v>#DIV/0!</v>
      </c>
      <c r="I109" s="340"/>
      <c r="K109" s="335"/>
    </row>
    <row r="110" spans="1:11" ht="22.5" hidden="1" customHeight="1">
      <c r="A110" s="174"/>
      <c r="B110" s="282" t="s">
        <v>280</v>
      </c>
      <c r="C110" s="260"/>
      <c r="D110" s="194"/>
      <c r="E110" s="194"/>
      <c r="F110" s="194"/>
      <c r="G110" s="315">
        <f t="shared" si="20"/>
        <v>0</v>
      </c>
      <c r="H110" s="310" t="e">
        <f t="shared" si="21"/>
        <v>#DIV/0!</v>
      </c>
      <c r="I110" s="41"/>
    </row>
    <row r="111" spans="1:11" ht="22.5" customHeight="1">
      <c r="A111" s="174" t="s">
        <v>328</v>
      </c>
      <c r="B111" s="192" t="s">
        <v>100</v>
      </c>
      <c r="C111" s="332">
        <v>1030</v>
      </c>
      <c r="D111" s="193">
        <f>D112</f>
        <v>0.7</v>
      </c>
      <c r="E111" s="310">
        <f>E112</f>
        <v>0.2</v>
      </c>
      <c r="F111" s="193">
        <f>F112</f>
        <v>0.8</v>
      </c>
      <c r="G111" s="310">
        <f t="shared" si="20"/>
        <v>0.60000000000000009</v>
      </c>
      <c r="H111" s="310">
        <f t="shared" si="21"/>
        <v>400</v>
      </c>
      <c r="I111" s="41"/>
    </row>
    <row r="112" spans="1:11" s="334" customFormat="1" ht="24.75" customHeight="1">
      <c r="A112" s="189" t="s">
        <v>329</v>
      </c>
      <c r="B112" s="190" t="s">
        <v>147</v>
      </c>
      <c r="C112" s="337">
        <v>1031</v>
      </c>
      <c r="D112" s="318">
        <f>SUM(D113:D115)</f>
        <v>0.7</v>
      </c>
      <c r="E112" s="318">
        <f>E113+E114</f>
        <v>0.2</v>
      </c>
      <c r="F112" s="318">
        <f>F113+F114+F115+F116</f>
        <v>0.8</v>
      </c>
      <c r="G112" s="319">
        <f t="shared" si="20"/>
        <v>0.60000000000000009</v>
      </c>
      <c r="H112" s="319">
        <f t="shared" si="21"/>
        <v>400</v>
      </c>
      <c r="I112" s="340"/>
      <c r="K112" s="335"/>
    </row>
    <row r="113" spans="1:11" ht="24.75" customHeight="1">
      <c r="A113" s="171"/>
      <c r="B113" s="40" t="s">
        <v>209</v>
      </c>
      <c r="C113" s="342"/>
      <c r="D113" s="194">
        <v>0.5</v>
      </c>
      <c r="E113" s="315">
        <v>0.2</v>
      </c>
      <c r="F113" s="194">
        <v>0.3</v>
      </c>
      <c r="G113" s="315">
        <f t="shared" si="20"/>
        <v>9.9999999999999978E-2</v>
      </c>
      <c r="H113" s="315">
        <f t="shared" si="21"/>
        <v>149.99999999999997</v>
      </c>
      <c r="I113" s="41"/>
    </row>
    <row r="114" spans="1:11" ht="24.75" customHeight="1">
      <c r="A114" s="171"/>
      <c r="B114" s="40" t="s">
        <v>237</v>
      </c>
      <c r="C114" s="342"/>
      <c r="D114" s="194">
        <v>0.1</v>
      </c>
      <c r="E114" s="315"/>
      <c r="F114" s="194"/>
      <c r="G114" s="315">
        <f t="shared" si="20"/>
        <v>0</v>
      </c>
      <c r="H114" s="323" t="e">
        <f t="shared" si="21"/>
        <v>#DIV/0!</v>
      </c>
      <c r="I114" s="41"/>
    </row>
    <row r="115" spans="1:11" ht="24.75" customHeight="1">
      <c r="A115" s="171"/>
      <c r="B115" s="40" t="s">
        <v>156</v>
      </c>
      <c r="C115" s="342"/>
      <c r="D115" s="194">
        <v>0.1</v>
      </c>
      <c r="E115" s="315"/>
      <c r="F115" s="194"/>
      <c r="G115" s="315">
        <f t="shared" si="20"/>
        <v>0</v>
      </c>
      <c r="H115" s="323" t="e">
        <f t="shared" si="21"/>
        <v>#DIV/0!</v>
      </c>
      <c r="I115" s="41"/>
    </row>
    <row r="116" spans="1:11" ht="24.75" customHeight="1">
      <c r="A116" s="171"/>
      <c r="B116" s="40" t="s">
        <v>282</v>
      </c>
      <c r="C116" s="342"/>
      <c r="D116" s="194"/>
      <c r="E116" s="315"/>
      <c r="F116" s="194">
        <v>0.5</v>
      </c>
      <c r="G116" s="315">
        <f t="shared" si="20"/>
        <v>0.5</v>
      </c>
      <c r="H116" s="323" t="e">
        <f t="shared" si="21"/>
        <v>#DIV/0!</v>
      </c>
      <c r="I116" s="41"/>
    </row>
    <row r="117" spans="1:11" ht="33.75" customHeight="1">
      <c r="A117" s="174" t="s">
        <v>301</v>
      </c>
      <c r="B117" s="285" t="s">
        <v>279</v>
      </c>
      <c r="C117" s="172"/>
      <c r="D117" s="344">
        <f>SUM(D119,D126)</f>
        <v>57</v>
      </c>
      <c r="E117" s="310">
        <f>SUM(E126)</f>
        <v>96.7</v>
      </c>
      <c r="F117" s="344">
        <f>SUM(F119,)+F126</f>
        <v>75.199999999999989</v>
      </c>
      <c r="G117" s="310">
        <f t="shared" si="20"/>
        <v>-21.500000000000014</v>
      </c>
      <c r="H117" s="310">
        <f t="shared" si="21"/>
        <v>77.766287487073399</v>
      </c>
      <c r="I117" s="345"/>
      <c r="J117" s="21">
        <v>51.6</v>
      </c>
    </row>
    <row r="118" spans="1:11" ht="27" customHeight="1">
      <c r="A118" s="171"/>
      <c r="B118" s="346" t="s">
        <v>93</v>
      </c>
      <c r="C118" s="175"/>
      <c r="D118" s="347"/>
      <c r="E118" s="315"/>
      <c r="F118" s="347"/>
      <c r="G118" s="310"/>
      <c r="H118" s="310"/>
      <c r="I118" s="41"/>
    </row>
    <row r="119" spans="1:11" ht="25.5" hidden="1" customHeight="1">
      <c r="A119" s="174" t="s">
        <v>115</v>
      </c>
      <c r="B119" s="285" t="s">
        <v>97</v>
      </c>
      <c r="C119" s="266">
        <v>1010</v>
      </c>
      <c r="D119" s="344">
        <f>D120</f>
        <v>0</v>
      </c>
      <c r="E119" s="348">
        <f>SUM(E120)</f>
        <v>0</v>
      </c>
      <c r="F119" s="344">
        <f>F120</f>
        <v>0</v>
      </c>
      <c r="G119" s="310">
        <f t="shared" si="20"/>
        <v>0</v>
      </c>
      <c r="H119" s="310" t="e">
        <f t="shared" si="21"/>
        <v>#DIV/0!</v>
      </c>
      <c r="I119" s="41"/>
    </row>
    <row r="120" spans="1:11" s="334" customFormat="1" ht="27" hidden="1" customHeight="1">
      <c r="A120" s="189" t="s">
        <v>213</v>
      </c>
      <c r="B120" s="190" t="s">
        <v>147</v>
      </c>
      <c r="C120" s="191">
        <v>1011</v>
      </c>
      <c r="D120" s="349">
        <f>D121+D122+D123+D124+D125</f>
        <v>0</v>
      </c>
      <c r="E120" s="350">
        <f>SUM(E121:E125)</f>
        <v>0</v>
      </c>
      <c r="F120" s="349">
        <f>F121+F122+F123+F124+F125</f>
        <v>0</v>
      </c>
      <c r="G120" s="319">
        <f t="shared" si="20"/>
        <v>0</v>
      </c>
      <c r="H120" s="319" t="e">
        <f t="shared" si="21"/>
        <v>#DIV/0!</v>
      </c>
      <c r="I120" s="340"/>
      <c r="K120" s="335"/>
    </row>
    <row r="121" spans="1:11" ht="22.5" hidden="1" customHeight="1">
      <c r="A121" s="171"/>
      <c r="B121" s="283" t="s">
        <v>157</v>
      </c>
      <c r="C121" s="266"/>
      <c r="D121" s="315"/>
      <c r="E121" s="351"/>
      <c r="F121" s="315"/>
      <c r="G121" s="315">
        <f t="shared" si="20"/>
        <v>0</v>
      </c>
      <c r="H121" s="315" t="e">
        <f t="shared" si="21"/>
        <v>#DIV/0!</v>
      </c>
      <c r="I121" s="41"/>
    </row>
    <row r="122" spans="1:11" ht="24" hidden="1" customHeight="1">
      <c r="A122" s="171"/>
      <c r="B122" s="283" t="s">
        <v>158</v>
      </c>
      <c r="C122" s="266"/>
      <c r="D122" s="315"/>
      <c r="E122" s="351"/>
      <c r="F122" s="315"/>
      <c r="G122" s="315">
        <f t="shared" si="20"/>
        <v>0</v>
      </c>
      <c r="H122" s="315" t="e">
        <f t="shared" si="21"/>
        <v>#DIV/0!</v>
      </c>
      <c r="I122" s="41"/>
    </row>
    <row r="123" spans="1:11" ht="22.5" hidden="1" customHeight="1">
      <c r="A123" s="171"/>
      <c r="B123" s="283" t="s">
        <v>159</v>
      </c>
      <c r="C123" s="266"/>
      <c r="D123" s="315"/>
      <c r="E123" s="351"/>
      <c r="F123" s="315"/>
      <c r="G123" s="315">
        <f t="shared" si="20"/>
        <v>0</v>
      </c>
      <c r="H123" s="315" t="e">
        <f t="shared" si="21"/>
        <v>#DIV/0!</v>
      </c>
      <c r="I123" s="41"/>
    </row>
    <row r="124" spans="1:11" ht="22.5" hidden="1" customHeight="1">
      <c r="A124" s="171"/>
      <c r="B124" s="283" t="s">
        <v>210</v>
      </c>
      <c r="C124" s="266"/>
      <c r="D124" s="315"/>
      <c r="E124" s="351"/>
      <c r="F124" s="315"/>
      <c r="G124" s="315">
        <f t="shared" si="20"/>
        <v>0</v>
      </c>
      <c r="H124" s="315" t="e">
        <f t="shared" si="21"/>
        <v>#DIV/0!</v>
      </c>
      <c r="I124" s="41"/>
    </row>
    <row r="125" spans="1:11" ht="21" hidden="1" customHeight="1">
      <c r="A125" s="171"/>
      <c r="B125" s="283" t="s">
        <v>281</v>
      </c>
      <c r="C125" s="175"/>
      <c r="D125" s="347"/>
      <c r="E125" s="351"/>
      <c r="F125" s="347"/>
      <c r="G125" s="315">
        <f t="shared" si="20"/>
        <v>0</v>
      </c>
      <c r="H125" s="310" t="e">
        <f t="shared" si="21"/>
        <v>#DIV/0!</v>
      </c>
      <c r="I125" s="41"/>
    </row>
    <row r="126" spans="1:11" ht="24.75" customHeight="1">
      <c r="A126" s="352" t="s">
        <v>330</v>
      </c>
      <c r="B126" s="192" t="s">
        <v>100</v>
      </c>
      <c r="C126" s="173">
        <v>1030</v>
      </c>
      <c r="D126" s="344">
        <f>D127</f>
        <v>57</v>
      </c>
      <c r="E126" s="348">
        <f>E127</f>
        <v>96.7</v>
      </c>
      <c r="F126" s="344">
        <f>F127</f>
        <v>75.199999999999989</v>
      </c>
      <c r="G126" s="310">
        <f t="shared" si="20"/>
        <v>-21.500000000000014</v>
      </c>
      <c r="H126" s="310">
        <f t="shared" si="21"/>
        <v>77.766287487073399</v>
      </c>
      <c r="I126" s="41"/>
    </row>
    <row r="127" spans="1:11" s="334" customFormat="1" ht="24.75" customHeight="1">
      <c r="A127" s="353" t="s">
        <v>331</v>
      </c>
      <c r="B127" s="354" t="s">
        <v>246</v>
      </c>
      <c r="C127" s="355">
        <v>1031</v>
      </c>
      <c r="D127" s="349">
        <f>SUM(D128:D131)</f>
        <v>57</v>
      </c>
      <c r="E127" s="350">
        <f>SUM(E128:E132)</f>
        <v>96.7</v>
      </c>
      <c r="F127" s="349">
        <f>F128+F129+F130+F131+F132</f>
        <v>75.199999999999989</v>
      </c>
      <c r="G127" s="319">
        <f t="shared" si="20"/>
        <v>-21.500000000000014</v>
      </c>
      <c r="H127" s="319">
        <f t="shared" si="21"/>
        <v>77.766287487073399</v>
      </c>
      <c r="I127" s="340"/>
      <c r="K127" s="335"/>
    </row>
    <row r="128" spans="1:11" ht="21" customHeight="1">
      <c r="A128" s="352"/>
      <c r="B128" s="283" t="s">
        <v>157</v>
      </c>
      <c r="C128" s="266"/>
      <c r="D128" s="315">
        <v>40.799999999999997</v>
      </c>
      <c r="E128" s="351">
        <v>51</v>
      </c>
      <c r="F128" s="315">
        <v>46.9</v>
      </c>
      <c r="G128" s="315">
        <f t="shared" si="20"/>
        <v>-4.1000000000000014</v>
      </c>
      <c r="H128" s="310">
        <f t="shared" si="21"/>
        <v>91.960784313725483</v>
      </c>
      <c r="I128" s="41"/>
    </row>
    <row r="129" spans="1:11" ht="22.5" customHeight="1">
      <c r="A129" s="352"/>
      <c r="B129" s="283" t="s">
        <v>158</v>
      </c>
      <c r="C129" s="266"/>
      <c r="D129" s="315">
        <v>2</v>
      </c>
      <c r="E129" s="351">
        <v>3.7</v>
      </c>
      <c r="F129" s="315">
        <v>3.6</v>
      </c>
      <c r="G129" s="315">
        <f t="shared" si="20"/>
        <v>-0.10000000000000009</v>
      </c>
      <c r="H129" s="310">
        <f t="shared" si="21"/>
        <v>97.297297297297291</v>
      </c>
      <c r="I129" s="41"/>
    </row>
    <row r="130" spans="1:11" ht="22.5" customHeight="1">
      <c r="A130" s="352"/>
      <c r="B130" s="283" t="s">
        <v>159</v>
      </c>
      <c r="C130" s="266"/>
      <c r="D130" s="315">
        <v>13.5</v>
      </c>
      <c r="E130" s="351">
        <v>40</v>
      </c>
      <c r="F130" s="315">
        <v>24</v>
      </c>
      <c r="G130" s="315">
        <f t="shared" si="20"/>
        <v>-16</v>
      </c>
      <c r="H130" s="310">
        <f t="shared" si="21"/>
        <v>60</v>
      </c>
      <c r="I130" s="41"/>
    </row>
    <row r="131" spans="1:11" ht="21" customHeight="1">
      <c r="A131" s="352"/>
      <c r="B131" s="283" t="s">
        <v>210</v>
      </c>
      <c r="C131" s="266"/>
      <c r="D131" s="315">
        <v>0.7</v>
      </c>
      <c r="E131" s="351">
        <v>1.5</v>
      </c>
      <c r="F131" s="315">
        <v>0.6</v>
      </c>
      <c r="G131" s="315">
        <f t="shared" si="20"/>
        <v>-0.9</v>
      </c>
      <c r="H131" s="310">
        <f t="shared" si="21"/>
        <v>40</v>
      </c>
      <c r="I131" s="41"/>
    </row>
    <row r="132" spans="1:11" ht="21" customHeight="1">
      <c r="A132" s="352"/>
      <c r="B132" s="283" t="s">
        <v>281</v>
      </c>
      <c r="C132" s="266"/>
      <c r="D132" s="315"/>
      <c r="E132" s="351">
        <v>0.5</v>
      </c>
      <c r="F132" s="347">
        <v>0.1</v>
      </c>
      <c r="G132" s="315">
        <f t="shared" si="20"/>
        <v>-0.4</v>
      </c>
      <c r="H132" s="310">
        <f t="shared" si="21"/>
        <v>20</v>
      </c>
      <c r="I132" s="41"/>
    </row>
    <row r="133" spans="1:11" ht="46.5" customHeight="1">
      <c r="A133" s="174" t="s">
        <v>211</v>
      </c>
      <c r="B133" s="285" t="s">
        <v>212</v>
      </c>
      <c r="C133" s="175"/>
      <c r="D133" s="344">
        <f>SUM(D135,D141)</f>
        <v>1012.8</v>
      </c>
      <c r="E133" s="310">
        <f>SUM(E135,E141)</f>
        <v>1280</v>
      </c>
      <c r="F133" s="344">
        <f>SUM(F135,F141)</f>
        <v>599.79999999999995</v>
      </c>
      <c r="G133" s="310">
        <f t="shared" si="20"/>
        <v>-680.2</v>
      </c>
      <c r="H133" s="310">
        <f t="shared" si="21"/>
        <v>46.859375</v>
      </c>
      <c r="I133" s="41"/>
    </row>
    <row r="134" spans="1:11" ht="29.25" customHeight="1">
      <c r="A134" s="171"/>
      <c r="B134" s="346" t="s">
        <v>93</v>
      </c>
      <c r="C134" s="175"/>
      <c r="D134" s="347"/>
      <c r="E134" s="351"/>
      <c r="F134" s="347"/>
      <c r="G134" s="310"/>
      <c r="H134" s="310"/>
      <c r="I134" s="41"/>
    </row>
    <row r="135" spans="1:11" ht="27" customHeight="1">
      <c r="A135" s="174" t="s">
        <v>115</v>
      </c>
      <c r="B135" s="285" t="s">
        <v>97</v>
      </c>
      <c r="C135" s="266">
        <v>1010</v>
      </c>
      <c r="D135" s="344">
        <f>D136</f>
        <v>256.8</v>
      </c>
      <c r="E135" s="348">
        <f>E136</f>
        <v>330</v>
      </c>
      <c r="F135" s="344">
        <f>F136</f>
        <v>243.3</v>
      </c>
      <c r="G135" s="310">
        <f t="shared" si="20"/>
        <v>-86.699999999999989</v>
      </c>
      <c r="H135" s="310">
        <f t="shared" si="21"/>
        <v>73.727272727272734</v>
      </c>
      <c r="I135" s="41"/>
    </row>
    <row r="136" spans="1:11" s="334" customFormat="1" ht="27.75" customHeight="1">
      <c r="A136" s="189" t="s">
        <v>213</v>
      </c>
      <c r="B136" s="190" t="s">
        <v>147</v>
      </c>
      <c r="C136" s="355">
        <v>1011</v>
      </c>
      <c r="D136" s="349">
        <f t="shared" ref="D136" si="23">SUM(D137:D139)+D140</f>
        <v>256.8</v>
      </c>
      <c r="E136" s="349">
        <f>SUM(E137:E140)</f>
        <v>330</v>
      </c>
      <c r="F136" s="349">
        <f t="shared" ref="F136" si="24">SUM(F137:F139)+F140</f>
        <v>243.3</v>
      </c>
      <c r="G136" s="319">
        <f t="shared" si="20"/>
        <v>-86.699999999999989</v>
      </c>
      <c r="H136" s="319">
        <f t="shared" si="21"/>
        <v>73.727272727272734</v>
      </c>
      <c r="I136" s="340"/>
      <c r="K136" s="335"/>
    </row>
    <row r="137" spans="1:11" ht="22.5" customHeight="1">
      <c r="A137" s="171"/>
      <c r="B137" s="172" t="s">
        <v>214</v>
      </c>
      <c r="C137" s="175"/>
      <c r="D137" s="347">
        <v>35.799999999999997</v>
      </c>
      <c r="E137" s="351">
        <v>50</v>
      </c>
      <c r="F137" s="347">
        <v>38.299999999999997</v>
      </c>
      <c r="G137" s="315">
        <f t="shared" si="20"/>
        <v>-11.700000000000003</v>
      </c>
      <c r="H137" s="315">
        <f t="shared" si="21"/>
        <v>76.599999999999994</v>
      </c>
      <c r="I137" s="41"/>
    </row>
    <row r="138" spans="1:11" ht="23.25" customHeight="1">
      <c r="A138" s="171"/>
      <c r="B138" s="172" t="s">
        <v>183</v>
      </c>
      <c r="C138" s="175"/>
      <c r="D138" s="347">
        <v>196.7</v>
      </c>
      <c r="E138" s="351">
        <v>220</v>
      </c>
      <c r="F138" s="347">
        <v>159.9</v>
      </c>
      <c r="G138" s="315">
        <f t="shared" si="20"/>
        <v>-60.099999999999994</v>
      </c>
      <c r="H138" s="315">
        <f t="shared" si="21"/>
        <v>72.681818181818187</v>
      </c>
      <c r="I138" s="41"/>
    </row>
    <row r="139" spans="1:11" ht="25.5" customHeight="1">
      <c r="A139" s="171"/>
      <c r="B139" s="39" t="s">
        <v>149</v>
      </c>
      <c r="C139" s="175"/>
      <c r="D139" s="347"/>
      <c r="E139" s="351"/>
      <c r="F139" s="347">
        <v>4.9000000000000004</v>
      </c>
      <c r="G139" s="315">
        <f t="shared" ref="G139:G202" si="25">F139-E139</f>
        <v>4.9000000000000004</v>
      </c>
      <c r="H139" s="323" t="e">
        <f t="shared" ref="H139:H202" si="26">(F139/E139)*100</f>
        <v>#DIV/0!</v>
      </c>
      <c r="I139" s="41"/>
    </row>
    <row r="140" spans="1:11" ht="24.75" customHeight="1">
      <c r="A140" s="171"/>
      <c r="B140" s="172" t="s">
        <v>182</v>
      </c>
      <c r="C140" s="175"/>
      <c r="D140" s="347">
        <v>24.3</v>
      </c>
      <c r="E140" s="351">
        <v>60</v>
      </c>
      <c r="F140" s="347">
        <v>40.200000000000003</v>
      </c>
      <c r="G140" s="315">
        <f t="shared" si="25"/>
        <v>-19.799999999999997</v>
      </c>
      <c r="H140" s="315">
        <f t="shared" si="26"/>
        <v>67</v>
      </c>
      <c r="I140" s="41"/>
    </row>
    <row r="141" spans="1:11" ht="27" customHeight="1">
      <c r="A141" s="174" t="s">
        <v>332</v>
      </c>
      <c r="B141" s="192" t="s">
        <v>100</v>
      </c>
      <c r="C141" s="173">
        <v>1030</v>
      </c>
      <c r="D141" s="344">
        <f>D142</f>
        <v>756</v>
      </c>
      <c r="E141" s="310">
        <f>SUM(E142)</f>
        <v>950</v>
      </c>
      <c r="F141" s="344">
        <f>F142</f>
        <v>356.5</v>
      </c>
      <c r="G141" s="310">
        <f t="shared" si="25"/>
        <v>-593.5</v>
      </c>
      <c r="H141" s="310">
        <f t="shared" si="26"/>
        <v>37.526315789473685</v>
      </c>
      <c r="I141" s="41"/>
    </row>
    <row r="142" spans="1:11" s="334" customFormat="1" ht="24.75" customHeight="1">
      <c r="A142" s="189" t="s">
        <v>331</v>
      </c>
      <c r="B142" s="190" t="s">
        <v>147</v>
      </c>
      <c r="C142" s="355">
        <v>1031</v>
      </c>
      <c r="D142" s="349">
        <f>SUM(D143:D144)</f>
        <v>756</v>
      </c>
      <c r="E142" s="319">
        <f>SUM(E143:E143)</f>
        <v>950</v>
      </c>
      <c r="F142" s="349">
        <f>SUM(F143:F144)</f>
        <v>356.5</v>
      </c>
      <c r="G142" s="319">
        <f t="shared" si="25"/>
        <v>-593.5</v>
      </c>
      <c r="H142" s="319">
        <f t="shared" si="26"/>
        <v>37.526315789473685</v>
      </c>
      <c r="I142" s="340"/>
      <c r="K142" s="335"/>
    </row>
    <row r="143" spans="1:11" ht="22.5" customHeight="1">
      <c r="A143" s="171"/>
      <c r="B143" s="172" t="s">
        <v>182</v>
      </c>
      <c r="C143" s="175"/>
      <c r="D143" s="347">
        <v>755.9</v>
      </c>
      <c r="E143" s="351">
        <v>950</v>
      </c>
      <c r="F143" s="347">
        <v>356.5</v>
      </c>
      <c r="G143" s="315">
        <f t="shared" si="25"/>
        <v>-593.5</v>
      </c>
      <c r="H143" s="315">
        <f t="shared" si="26"/>
        <v>37.526315789473685</v>
      </c>
      <c r="I143" s="41"/>
    </row>
    <row r="144" spans="1:11" ht="26.25" customHeight="1">
      <c r="A144" s="171"/>
      <c r="B144" s="172" t="s">
        <v>240</v>
      </c>
      <c r="C144" s="175"/>
      <c r="D144" s="347">
        <v>0.1</v>
      </c>
      <c r="E144" s="351"/>
      <c r="F144" s="347"/>
      <c r="G144" s="315">
        <f t="shared" si="25"/>
        <v>0</v>
      </c>
      <c r="H144" s="323" t="e">
        <f t="shared" si="26"/>
        <v>#DIV/0!</v>
      </c>
      <c r="I144" s="41"/>
    </row>
    <row r="145" spans="1:10" ht="27.75" customHeight="1">
      <c r="A145" s="174" t="s">
        <v>215</v>
      </c>
      <c r="B145" s="285" t="s">
        <v>216</v>
      </c>
      <c r="C145" s="175"/>
      <c r="D145" s="344">
        <f>SUM(D147,D154)</f>
        <v>1063.4999999999998</v>
      </c>
      <c r="E145" s="344">
        <f t="shared" ref="E145" si="27">SUM(E147)</f>
        <v>0</v>
      </c>
      <c r="F145" s="344">
        <f>F147+F154</f>
        <v>461.5</v>
      </c>
      <c r="G145" s="310">
        <f t="shared" si="25"/>
        <v>461.5</v>
      </c>
      <c r="H145" s="323" t="e">
        <f t="shared" si="26"/>
        <v>#DIV/0!</v>
      </c>
      <c r="I145" s="345"/>
      <c r="J145" s="21">
        <v>11.5</v>
      </c>
    </row>
    <row r="146" spans="1:10" ht="24.75" customHeight="1">
      <c r="A146" s="174"/>
      <c r="B146" s="356" t="s">
        <v>93</v>
      </c>
      <c r="C146" s="175"/>
      <c r="D146" s="344"/>
      <c r="E146" s="310"/>
      <c r="F146" s="344"/>
      <c r="G146" s="310"/>
      <c r="H146" s="323"/>
      <c r="I146" s="345"/>
    </row>
    <row r="147" spans="1:10" ht="29.25" customHeight="1">
      <c r="A147" s="174" t="s">
        <v>217</v>
      </c>
      <c r="B147" s="285" t="s">
        <v>97</v>
      </c>
      <c r="C147" s="266">
        <v>1010</v>
      </c>
      <c r="D147" s="344">
        <f>SUM(D148,D153)</f>
        <v>1045.1999999999998</v>
      </c>
      <c r="E147" s="310">
        <f t="shared" ref="E147" si="28">SUM(E148)</f>
        <v>0</v>
      </c>
      <c r="F147" s="344">
        <f>F148+F153</f>
        <v>461.5</v>
      </c>
      <c r="G147" s="310">
        <f t="shared" si="25"/>
        <v>461.5</v>
      </c>
      <c r="H147" s="331" t="e">
        <f t="shared" si="26"/>
        <v>#DIV/0!</v>
      </c>
      <c r="I147" s="41"/>
    </row>
    <row r="148" spans="1:10" ht="28.5" customHeight="1">
      <c r="A148" s="189" t="s">
        <v>218</v>
      </c>
      <c r="B148" s="190" t="s">
        <v>147</v>
      </c>
      <c r="C148" s="191">
        <v>1011</v>
      </c>
      <c r="D148" s="349">
        <f>SUM(D149:D152)</f>
        <v>1034.1999999999998</v>
      </c>
      <c r="E148" s="319">
        <f>SUM(E150:E150)</f>
        <v>0</v>
      </c>
      <c r="F148" s="349">
        <f>SUM(F149:F152)</f>
        <v>426</v>
      </c>
      <c r="G148" s="319">
        <f t="shared" si="25"/>
        <v>426</v>
      </c>
      <c r="H148" s="357" t="e">
        <f t="shared" si="26"/>
        <v>#DIV/0!</v>
      </c>
      <c r="I148" s="41"/>
    </row>
    <row r="149" spans="1:10" ht="24" customHeight="1">
      <c r="A149" s="174"/>
      <c r="B149" s="39" t="s">
        <v>149</v>
      </c>
      <c r="C149" s="266"/>
      <c r="D149" s="347">
        <v>2.8</v>
      </c>
      <c r="E149" s="310"/>
      <c r="F149" s="347">
        <v>10.9</v>
      </c>
      <c r="G149" s="315">
        <f t="shared" si="25"/>
        <v>10.9</v>
      </c>
      <c r="H149" s="323" t="e">
        <f t="shared" si="26"/>
        <v>#DIV/0!</v>
      </c>
      <c r="I149" s="41"/>
    </row>
    <row r="150" spans="1:10" ht="24" customHeight="1">
      <c r="A150" s="174"/>
      <c r="B150" s="40" t="s">
        <v>209</v>
      </c>
      <c r="C150" s="175"/>
      <c r="D150" s="347">
        <v>979.7</v>
      </c>
      <c r="E150" s="351"/>
      <c r="F150" s="347">
        <v>406.7</v>
      </c>
      <c r="G150" s="315">
        <f t="shared" si="25"/>
        <v>406.7</v>
      </c>
      <c r="H150" s="323" t="e">
        <f t="shared" si="26"/>
        <v>#DIV/0!</v>
      </c>
      <c r="I150" s="41"/>
    </row>
    <row r="151" spans="1:10" ht="18.75" customHeight="1">
      <c r="A151" s="174"/>
      <c r="B151" s="40" t="s">
        <v>270</v>
      </c>
      <c r="C151" s="175"/>
      <c r="D151" s="347">
        <v>51.1</v>
      </c>
      <c r="E151" s="351"/>
      <c r="F151" s="347">
        <v>7.6</v>
      </c>
      <c r="G151" s="315">
        <f t="shared" si="25"/>
        <v>7.6</v>
      </c>
      <c r="H151" s="331" t="e">
        <f t="shared" si="26"/>
        <v>#DIV/0!</v>
      </c>
      <c r="I151" s="41"/>
    </row>
    <row r="152" spans="1:10" ht="23.25" customHeight="1">
      <c r="A152" s="171"/>
      <c r="B152" s="40" t="s">
        <v>296</v>
      </c>
      <c r="C152" s="175"/>
      <c r="D152" s="194">
        <v>0.6</v>
      </c>
      <c r="E152" s="351"/>
      <c r="F152" s="194">
        <v>0.8</v>
      </c>
      <c r="G152" s="315">
        <f t="shared" si="25"/>
        <v>0.8</v>
      </c>
      <c r="H152" s="331" t="e">
        <f t="shared" si="26"/>
        <v>#DIV/0!</v>
      </c>
      <c r="I152" s="41"/>
    </row>
    <row r="153" spans="1:10" ht="23.25" customHeight="1">
      <c r="A153" s="189" t="s">
        <v>333</v>
      </c>
      <c r="B153" s="324" t="s">
        <v>4</v>
      </c>
      <c r="C153" s="355">
        <v>1014</v>
      </c>
      <c r="D153" s="318">
        <v>11</v>
      </c>
      <c r="E153" s="350"/>
      <c r="F153" s="318">
        <v>35.5</v>
      </c>
      <c r="G153" s="319">
        <f t="shared" si="25"/>
        <v>35.5</v>
      </c>
      <c r="H153" s="357" t="e">
        <f t="shared" si="26"/>
        <v>#DIV/0!</v>
      </c>
      <c r="I153" s="41"/>
      <c r="J153" s="29" t="s">
        <v>311</v>
      </c>
    </row>
    <row r="154" spans="1:10" ht="22.5" customHeight="1">
      <c r="A154" s="189" t="s">
        <v>334</v>
      </c>
      <c r="B154" s="358" t="s">
        <v>100</v>
      </c>
      <c r="C154" s="355">
        <v>1030</v>
      </c>
      <c r="D154" s="318">
        <f>D155</f>
        <v>18.3</v>
      </c>
      <c r="E154" s="350"/>
      <c r="F154" s="318">
        <f>F155</f>
        <v>0</v>
      </c>
      <c r="G154" s="319">
        <f t="shared" si="25"/>
        <v>0</v>
      </c>
      <c r="H154" s="357" t="e">
        <f t="shared" si="26"/>
        <v>#DIV/0!</v>
      </c>
      <c r="I154" s="41"/>
    </row>
    <row r="155" spans="1:10" ht="21.75" customHeight="1">
      <c r="A155" s="189" t="s">
        <v>335</v>
      </c>
      <c r="B155" s="190" t="s">
        <v>147</v>
      </c>
      <c r="C155" s="355">
        <v>1031</v>
      </c>
      <c r="D155" s="318">
        <f>SUM(D156:D157)</f>
        <v>18.3</v>
      </c>
      <c r="E155" s="350"/>
      <c r="F155" s="318">
        <f>F157+F156</f>
        <v>0</v>
      </c>
      <c r="G155" s="319">
        <f t="shared" si="25"/>
        <v>0</v>
      </c>
      <c r="H155" s="357" t="e">
        <f t="shared" si="26"/>
        <v>#DIV/0!</v>
      </c>
      <c r="I155" s="41"/>
    </row>
    <row r="156" spans="1:10" ht="24" customHeight="1">
      <c r="A156" s="189"/>
      <c r="B156" s="40" t="s">
        <v>296</v>
      </c>
      <c r="C156" s="173"/>
      <c r="D156" s="194">
        <v>0.2</v>
      </c>
      <c r="E156" s="351"/>
      <c r="F156" s="194"/>
      <c r="G156" s="315">
        <f t="shared" si="25"/>
        <v>0</v>
      </c>
      <c r="H156" s="331" t="e">
        <f t="shared" si="26"/>
        <v>#DIV/0!</v>
      </c>
      <c r="I156" s="41"/>
    </row>
    <row r="157" spans="1:10" ht="23.25" customHeight="1">
      <c r="A157" s="171"/>
      <c r="B157" s="40" t="s">
        <v>293</v>
      </c>
      <c r="C157" s="175"/>
      <c r="D157" s="194">
        <v>18.100000000000001</v>
      </c>
      <c r="E157" s="351"/>
      <c r="F157" s="194"/>
      <c r="G157" s="315">
        <f t="shared" si="25"/>
        <v>0</v>
      </c>
      <c r="H157" s="331" t="e">
        <f t="shared" si="26"/>
        <v>#DIV/0!</v>
      </c>
      <c r="I157" s="41"/>
    </row>
    <row r="158" spans="1:10" ht="27.75" hidden="1" customHeight="1">
      <c r="A158" s="174" t="s">
        <v>222</v>
      </c>
      <c r="B158" s="341" t="s">
        <v>285</v>
      </c>
      <c r="C158" s="175"/>
      <c r="D158" s="344">
        <f>D160+D163</f>
        <v>0</v>
      </c>
      <c r="E158" s="348">
        <f>E160</f>
        <v>0</v>
      </c>
      <c r="F158" s="344">
        <f>F160+F163</f>
        <v>0</v>
      </c>
      <c r="G158" s="310">
        <f t="shared" si="25"/>
        <v>0</v>
      </c>
      <c r="H158" s="310" t="e">
        <f t="shared" si="26"/>
        <v>#DIV/0!</v>
      </c>
      <c r="I158" s="41"/>
    </row>
    <row r="159" spans="1:10" ht="24.75" hidden="1" customHeight="1">
      <c r="A159" s="174"/>
      <c r="B159" s="343" t="s">
        <v>93</v>
      </c>
      <c r="C159" s="175"/>
      <c r="D159" s="344"/>
      <c r="E159" s="348"/>
      <c r="F159" s="344"/>
      <c r="G159" s="310">
        <f t="shared" si="25"/>
        <v>0</v>
      </c>
      <c r="H159" s="310" t="e">
        <f t="shared" si="26"/>
        <v>#DIV/0!</v>
      </c>
      <c r="I159" s="41"/>
    </row>
    <row r="160" spans="1:10" ht="24.75" hidden="1" customHeight="1">
      <c r="A160" s="174" t="s">
        <v>223</v>
      </c>
      <c r="B160" s="285" t="s">
        <v>99</v>
      </c>
      <c r="C160" s="173">
        <v>1020</v>
      </c>
      <c r="D160" s="344"/>
      <c r="E160" s="348">
        <f>E161+E162</f>
        <v>0</v>
      </c>
      <c r="F160" s="344">
        <f>F161+F162</f>
        <v>0</v>
      </c>
      <c r="G160" s="310">
        <f t="shared" si="25"/>
        <v>0</v>
      </c>
      <c r="H160" s="310" t="e">
        <f t="shared" si="26"/>
        <v>#DIV/0!</v>
      </c>
      <c r="I160" s="41"/>
    </row>
    <row r="161" spans="1:11" s="334" customFormat="1" ht="23.25" hidden="1" customHeight="1">
      <c r="A161" s="189" t="s">
        <v>304</v>
      </c>
      <c r="B161" s="324" t="s">
        <v>2</v>
      </c>
      <c r="C161" s="191">
        <v>1022</v>
      </c>
      <c r="D161" s="349"/>
      <c r="E161" s="350"/>
      <c r="F161" s="349"/>
      <c r="G161" s="319">
        <f t="shared" si="25"/>
        <v>0</v>
      </c>
      <c r="H161" s="319" t="e">
        <f t="shared" si="26"/>
        <v>#DIV/0!</v>
      </c>
      <c r="I161" s="340"/>
      <c r="K161" s="335"/>
    </row>
    <row r="162" spans="1:11" s="334" customFormat="1" ht="25.5" hidden="1" customHeight="1">
      <c r="A162" s="189" t="s">
        <v>305</v>
      </c>
      <c r="B162" s="324" t="s">
        <v>3</v>
      </c>
      <c r="C162" s="191">
        <v>1023</v>
      </c>
      <c r="D162" s="349"/>
      <c r="E162" s="350"/>
      <c r="F162" s="349"/>
      <c r="G162" s="319">
        <f t="shared" si="25"/>
        <v>0</v>
      </c>
      <c r="H162" s="319" t="e">
        <f t="shared" si="26"/>
        <v>#DIV/0!</v>
      </c>
      <c r="I162" s="340"/>
      <c r="K162" s="335"/>
    </row>
    <row r="163" spans="1:11" ht="25.5" hidden="1" customHeight="1">
      <c r="A163" s="174" t="s">
        <v>292</v>
      </c>
      <c r="B163" s="192" t="s">
        <v>100</v>
      </c>
      <c r="C163" s="173">
        <v>1030</v>
      </c>
      <c r="D163" s="344"/>
      <c r="E163" s="348"/>
      <c r="F163" s="344">
        <f>F164+F165</f>
        <v>0</v>
      </c>
      <c r="G163" s="310">
        <f t="shared" si="25"/>
        <v>0</v>
      </c>
      <c r="H163" s="310" t="e">
        <f t="shared" si="26"/>
        <v>#DIV/0!</v>
      </c>
      <c r="I163" s="41"/>
    </row>
    <row r="164" spans="1:11" s="334" customFormat="1" ht="25.5" hidden="1" customHeight="1">
      <c r="A164" s="189" t="s">
        <v>306</v>
      </c>
      <c r="B164" s="324" t="s">
        <v>2</v>
      </c>
      <c r="C164" s="191">
        <v>1032</v>
      </c>
      <c r="D164" s="349"/>
      <c r="E164" s="350"/>
      <c r="F164" s="349"/>
      <c r="G164" s="319">
        <f t="shared" si="25"/>
        <v>0</v>
      </c>
      <c r="H164" s="319" t="e">
        <f t="shared" si="26"/>
        <v>#DIV/0!</v>
      </c>
      <c r="I164" s="340"/>
      <c r="K164" s="335"/>
    </row>
    <row r="165" spans="1:11" s="334" customFormat="1" ht="25.5" hidden="1" customHeight="1">
      <c r="A165" s="189" t="s">
        <v>307</v>
      </c>
      <c r="B165" s="324" t="s">
        <v>3</v>
      </c>
      <c r="C165" s="191">
        <v>1033</v>
      </c>
      <c r="D165" s="349"/>
      <c r="E165" s="350"/>
      <c r="F165" s="349"/>
      <c r="G165" s="319">
        <f t="shared" si="25"/>
        <v>0</v>
      </c>
      <c r="H165" s="319" t="e">
        <f t="shared" si="26"/>
        <v>#DIV/0!</v>
      </c>
      <c r="I165" s="340"/>
      <c r="K165" s="335"/>
    </row>
    <row r="166" spans="1:11" ht="30" customHeight="1">
      <c r="A166" s="174" t="s">
        <v>220</v>
      </c>
      <c r="B166" s="285" t="s">
        <v>116</v>
      </c>
      <c r="C166" s="266"/>
      <c r="D166" s="344">
        <f>D175+D168</f>
        <v>29.700000000000003</v>
      </c>
      <c r="E166" s="348">
        <f>E175+E168</f>
        <v>51</v>
      </c>
      <c r="F166" s="344">
        <f>F175+F168</f>
        <v>34.299999999999997</v>
      </c>
      <c r="G166" s="310">
        <f t="shared" si="25"/>
        <v>-16.700000000000003</v>
      </c>
      <c r="H166" s="310">
        <f t="shared" si="26"/>
        <v>67.254901960784309</v>
      </c>
      <c r="I166" s="345"/>
    </row>
    <row r="167" spans="1:11" ht="27.75" customHeight="1">
      <c r="A167" s="174"/>
      <c r="B167" s="356" t="s">
        <v>93</v>
      </c>
      <c r="C167" s="266"/>
      <c r="D167" s="344"/>
      <c r="E167" s="348"/>
      <c r="F167" s="344"/>
      <c r="G167" s="310"/>
      <c r="H167" s="310"/>
      <c r="I167" s="345"/>
    </row>
    <row r="168" spans="1:11" ht="27.75" customHeight="1">
      <c r="A168" s="174" t="s">
        <v>221</v>
      </c>
      <c r="B168" s="285" t="s">
        <v>97</v>
      </c>
      <c r="C168" s="266">
        <v>1010</v>
      </c>
      <c r="D168" s="344">
        <f>D172</f>
        <v>2.8</v>
      </c>
      <c r="E168" s="344">
        <f>E172</f>
        <v>10</v>
      </c>
      <c r="F168" s="344">
        <f>F172+F169+F171</f>
        <v>4.6000000000000005</v>
      </c>
      <c r="G168" s="310">
        <f t="shared" si="25"/>
        <v>-5.3999999999999995</v>
      </c>
      <c r="H168" s="310">
        <f t="shared" si="26"/>
        <v>46.000000000000007</v>
      </c>
      <c r="I168" s="345"/>
    </row>
    <row r="169" spans="1:11" ht="27.75" customHeight="1">
      <c r="A169" s="174" t="s">
        <v>271</v>
      </c>
      <c r="B169" s="190" t="s">
        <v>147</v>
      </c>
      <c r="C169" s="266">
        <v>1011</v>
      </c>
      <c r="D169" s="344"/>
      <c r="E169" s="344"/>
      <c r="F169" s="344">
        <f>F170</f>
        <v>0.2</v>
      </c>
      <c r="G169" s="310">
        <f t="shared" si="25"/>
        <v>0.2</v>
      </c>
      <c r="H169" s="331" t="e">
        <f t="shared" si="26"/>
        <v>#DIV/0!</v>
      </c>
      <c r="I169" s="345"/>
    </row>
    <row r="170" spans="1:11" ht="27.75" customHeight="1">
      <c r="A170" s="174"/>
      <c r="B170" s="42" t="s">
        <v>151</v>
      </c>
      <c r="C170" s="266"/>
      <c r="D170" s="344"/>
      <c r="E170" s="344"/>
      <c r="F170" s="347">
        <v>0.2</v>
      </c>
      <c r="G170" s="315">
        <f t="shared" si="25"/>
        <v>0.2</v>
      </c>
      <c r="H170" s="331" t="e">
        <f t="shared" si="26"/>
        <v>#DIV/0!</v>
      </c>
      <c r="I170" s="345"/>
    </row>
    <row r="171" spans="1:11" ht="27.75" customHeight="1">
      <c r="A171" s="189" t="s">
        <v>348</v>
      </c>
      <c r="B171" s="338" t="s">
        <v>3</v>
      </c>
      <c r="C171" s="191">
        <v>1013</v>
      </c>
      <c r="D171" s="349"/>
      <c r="E171" s="349"/>
      <c r="F171" s="349">
        <v>4.4000000000000004</v>
      </c>
      <c r="G171" s="319">
        <f t="shared" si="25"/>
        <v>4.4000000000000004</v>
      </c>
      <c r="H171" s="357" t="e">
        <f t="shared" si="26"/>
        <v>#DIV/0!</v>
      </c>
      <c r="I171" s="345"/>
    </row>
    <row r="172" spans="1:11" s="334" customFormat="1" ht="27.75" customHeight="1">
      <c r="A172" s="189" t="s">
        <v>336</v>
      </c>
      <c r="B172" s="324" t="s">
        <v>251</v>
      </c>
      <c r="C172" s="191">
        <v>1015</v>
      </c>
      <c r="D172" s="349">
        <f>D173+D174</f>
        <v>2.8</v>
      </c>
      <c r="E172" s="349">
        <f>E173+E174</f>
        <v>10</v>
      </c>
      <c r="F172" s="349">
        <f>F173</f>
        <v>0</v>
      </c>
      <c r="G172" s="319">
        <f t="shared" si="25"/>
        <v>-10</v>
      </c>
      <c r="H172" s="357">
        <f t="shared" si="26"/>
        <v>0</v>
      </c>
      <c r="I172" s="359"/>
      <c r="K172" s="335"/>
    </row>
    <row r="173" spans="1:11" ht="27.75" customHeight="1">
      <c r="A173" s="174"/>
      <c r="B173" s="42" t="s">
        <v>169</v>
      </c>
      <c r="C173" s="266"/>
      <c r="D173" s="347">
        <v>2.8</v>
      </c>
      <c r="E173" s="348"/>
      <c r="F173" s="347"/>
      <c r="G173" s="310">
        <f t="shared" si="25"/>
        <v>0</v>
      </c>
      <c r="H173" s="331" t="e">
        <f t="shared" si="26"/>
        <v>#DIV/0!</v>
      </c>
      <c r="I173" s="345"/>
    </row>
    <row r="174" spans="1:11" ht="27.75" customHeight="1">
      <c r="A174" s="174"/>
      <c r="B174" s="42" t="s">
        <v>320</v>
      </c>
      <c r="C174" s="266"/>
      <c r="D174" s="347"/>
      <c r="E174" s="351">
        <v>10</v>
      </c>
      <c r="F174" s="347"/>
      <c r="G174" s="310">
        <f t="shared" si="25"/>
        <v>-10</v>
      </c>
      <c r="H174" s="310">
        <f t="shared" si="26"/>
        <v>0</v>
      </c>
      <c r="I174" s="345"/>
    </row>
    <row r="175" spans="1:11" ht="26.25" customHeight="1">
      <c r="A175" s="174" t="s">
        <v>337</v>
      </c>
      <c r="B175" s="192" t="s">
        <v>100</v>
      </c>
      <c r="C175" s="173">
        <v>1030</v>
      </c>
      <c r="D175" s="344">
        <f t="shared" ref="D175:F175" si="29">SUM(D176)</f>
        <v>26.900000000000002</v>
      </c>
      <c r="E175" s="310">
        <f t="shared" si="29"/>
        <v>41</v>
      </c>
      <c r="F175" s="344">
        <f t="shared" si="29"/>
        <v>29.7</v>
      </c>
      <c r="G175" s="310">
        <f t="shared" si="25"/>
        <v>-11.3</v>
      </c>
      <c r="H175" s="310">
        <f t="shared" si="26"/>
        <v>72.439024390243901</v>
      </c>
      <c r="I175" s="41"/>
    </row>
    <row r="176" spans="1:11" s="334" customFormat="1" ht="29.25" customHeight="1">
      <c r="A176" s="189" t="s">
        <v>338</v>
      </c>
      <c r="B176" s="324" t="s">
        <v>100</v>
      </c>
      <c r="C176" s="355">
        <v>1035</v>
      </c>
      <c r="D176" s="349">
        <f>SUM(D177:D179)</f>
        <v>26.900000000000002</v>
      </c>
      <c r="E176" s="349">
        <f>SUM(E177:E180)</f>
        <v>41</v>
      </c>
      <c r="F176" s="349">
        <f>SUM(F177:F179)+F180</f>
        <v>29.7</v>
      </c>
      <c r="G176" s="319">
        <f t="shared" si="25"/>
        <v>-11.3</v>
      </c>
      <c r="H176" s="319">
        <f t="shared" si="26"/>
        <v>72.439024390243901</v>
      </c>
      <c r="I176" s="340"/>
      <c r="K176" s="335"/>
    </row>
    <row r="177" spans="1:11" ht="27" customHeight="1">
      <c r="A177" s="174"/>
      <c r="B177" s="40" t="s">
        <v>52</v>
      </c>
      <c r="C177" s="173"/>
      <c r="D177" s="347">
        <v>25.1</v>
      </c>
      <c r="E177" s="315">
        <v>40</v>
      </c>
      <c r="F177" s="347">
        <v>28.7</v>
      </c>
      <c r="G177" s="315">
        <f t="shared" si="25"/>
        <v>-11.3</v>
      </c>
      <c r="H177" s="315">
        <f t="shared" si="26"/>
        <v>71.75</v>
      </c>
      <c r="I177" s="41"/>
    </row>
    <row r="178" spans="1:11" ht="23.25" customHeight="1">
      <c r="A178" s="174"/>
      <c r="B178" s="42" t="s">
        <v>178</v>
      </c>
      <c r="C178" s="266"/>
      <c r="D178" s="347">
        <v>0.6</v>
      </c>
      <c r="E178" s="351">
        <v>0.5</v>
      </c>
      <c r="F178" s="347">
        <v>0.5</v>
      </c>
      <c r="G178" s="315">
        <f t="shared" si="25"/>
        <v>0</v>
      </c>
      <c r="H178" s="315">
        <f t="shared" si="26"/>
        <v>100</v>
      </c>
      <c r="I178" s="41"/>
    </row>
    <row r="179" spans="1:11" ht="23.25" customHeight="1">
      <c r="A179" s="174"/>
      <c r="B179" s="42" t="s">
        <v>298</v>
      </c>
      <c r="C179" s="266"/>
      <c r="D179" s="347">
        <v>1.2</v>
      </c>
      <c r="E179" s="351"/>
      <c r="F179" s="347"/>
      <c r="G179" s="315">
        <f t="shared" si="25"/>
        <v>0</v>
      </c>
      <c r="H179" s="323" t="e">
        <f t="shared" si="26"/>
        <v>#DIV/0!</v>
      </c>
      <c r="I179" s="41"/>
    </row>
    <row r="180" spans="1:11" ht="23.25" customHeight="1">
      <c r="A180" s="174"/>
      <c r="B180" s="42" t="s">
        <v>319</v>
      </c>
      <c r="C180" s="266"/>
      <c r="D180" s="347"/>
      <c r="E180" s="351">
        <v>0.5</v>
      </c>
      <c r="F180" s="347">
        <v>0.5</v>
      </c>
      <c r="G180" s="315">
        <f t="shared" si="25"/>
        <v>0</v>
      </c>
      <c r="H180" s="315">
        <f t="shared" si="26"/>
        <v>100</v>
      </c>
      <c r="I180" s="41"/>
    </row>
    <row r="181" spans="1:11" ht="24.75" customHeight="1">
      <c r="A181" s="174" t="s">
        <v>222</v>
      </c>
      <c r="B181" s="360" t="s">
        <v>283</v>
      </c>
      <c r="C181" s="172"/>
      <c r="D181" s="344">
        <f>D183</f>
        <v>168.8</v>
      </c>
      <c r="E181" s="348">
        <f>E183</f>
        <v>168.8</v>
      </c>
      <c r="F181" s="344">
        <f>F183</f>
        <v>168.8</v>
      </c>
      <c r="G181" s="310">
        <f t="shared" si="25"/>
        <v>0</v>
      </c>
      <c r="H181" s="315">
        <f t="shared" si="26"/>
        <v>100</v>
      </c>
      <c r="I181" s="41"/>
    </row>
    <row r="182" spans="1:11" ht="22.5" customHeight="1">
      <c r="A182" s="171"/>
      <c r="B182" s="346" t="s">
        <v>93</v>
      </c>
      <c r="C182" s="175"/>
      <c r="D182" s="347"/>
      <c r="E182" s="351"/>
      <c r="F182" s="347"/>
      <c r="G182" s="315"/>
      <c r="H182" s="315"/>
      <c r="I182" s="41"/>
    </row>
    <row r="183" spans="1:11" ht="27" customHeight="1">
      <c r="A183" s="174" t="s">
        <v>223</v>
      </c>
      <c r="B183" s="360" t="s">
        <v>97</v>
      </c>
      <c r="C183" s="173">
        <v>1010</v>
      </c>
      <c r="D183" s="344">
        <f>D184</f>
        <v>168.8</v>
      </c>
      <c r="E183" s="348">
        <f>E184</f>
        <v>168.8</v>
      </c>
      <c r="F183" s="344">
        <f>F184</f>
        <v>168.8</v>
      </c>
      <c r="G183" s="310">
        <f t="shared" si="25"/>
        <v>0</v>
      </c>
      <c r="H183" s="310">
        <f t="shared" si="26"/>
        <v>100</v>
      </c>
      <c r="I183" s="41"/>
    </row>
    <row r="184" spans="1:11" ht="27.75" customHeight="1">
      <c r="A184" s="189" t="s">
        <v>339</v>
      </c>
      <c r="B184" s="361" t="s">
        <v>252</v>
      </c>
      <c r="C184" s="355">
        <v>1014</v>
      </c>
      <c r="D184" s="349">
        <v>168.8</v>
      </c>
      <c r="E184" s="350">
        <v>168.8</v>
      </c>
      <c r="F184" s="349">
        <v>168.8</v>
      </c>
      <c r="G184" s="319">
        <f t="shared" si="25"/>
        <v>0</v>
      </c>
      <c r="H184" s="319">
        <f t="shared" si="26"/>
        <v>100</v>
      </c>
      <c r="I184" s="41"/>
    </row>
    <row r="185" spans="1:11" ht="30" customHeight="1">
      <c r="A185" s="174" t="s">
        <v>224</v>
      </c>
      <c r="B185" s="360" t="s">
        <v>256</v>
      </c>
      <c r="C185" s="172"/>
      <c r="D185" s="344">
        <f t="shared" ref="D185" si="30">SUM(D187,D189)</f>
        <v>124.3</v>
      </c>
      <c r="E185" s="310">
        <f t="shared" ref="E185:F185" si="31">SUM(E187,E189)</f>
        <v>121.6</v>
      </c>
      <c r="F185" s="344">
        <f t="shared" si="31"/>
        <v>117.1</v>
      </c>
      <c r="G185" s="310">
        <f t="shared" si="25"/>
        <v>-4.5</v>
      </c>
      <c r="H185" s="310">
        <f t="shared" si="26"/>
        <v>96.29934210526315</v>
      </c>
      <c r="I185" s="41"/>
    </row>
    <row r="186" spans="1:11" ht="24" customHeight="1">
      <c r="A186" s="171"/>
      <c r="B186" s="346" t="s">
        <v>93</v>
      </c>
      <c r="C186" s="175"/>
      <c r="D186" s="347"/>
      <c r="E186" s="315"/>
      <c r="F186" s="347"/>
      <c r="G186" s="310"/>
      <c r="H186" s="310"/>
      <c r="I186" s="41"/>
    </row>
    <row r="187" spans="1:11" ht="26.25" customHeight="1">
      <c r="A187" s="174" t="s">
        <v>225</v>
      </c>
      <c r="B187" s="360" t="s">
        <v>97</v>
      </c>
      <c r="C187" s="173">
        <v>1010</v>
      </c>
      <c r="D187" s="344">
        <f>D188</f>
        <v>119.8</v>
      </c>
      <c r="E187" s="310">
        <f>E188</f>
        <v>120</v>
      </c>
      <c r="F187" s="344">
        <f>F188</f>
        <v>117.1</v>
      </c>
      <c r="G187" s="310">
        <f t="shared" si="25"/>
        <v>-2.9000000000000057</v>
      </c>
      <c r="H187" s="310">
        <f t="shared" si="26"/>
        <v>97.583333333333329</v>
      </c>
      <c r="I187" s="41"/>
    </row>
    <row r="188" spans="1:11" s="334" customFormat="1" ht="27.75" customHeight="1">
      <c r="A188" s="189" t="s">
        <v>308</v>
      </c>
      <c r="B188" s="361" t="s">
        <v>252</v>
      </c>
      <c r="C188" s="355">
        <v>1014</v>
      </c>
      <c r="D188" s="349">
        <v>119.8</v>
      </c>
      <c r="E188" s="319">
        <v>120</v>
      </c>
      <c r="F188" s="349">
        <v>117.1</v>
      </c>
      <c r="G188" s="319">
        <f t="shared" si="25"/>
        <v>-2.9000000000000057</v>
      </c>
      <c r="H188" s="319">
        <f t="shared" si="26"/>
        <v>97.583333333333329</v>
      </c>
      <c r="I188" s="340"/>
      <c r="K188" s="335"/>
    </row>
    <row r="189" spans="1:11" ht="27" customHeight="1">
      <c r="A189" s="174" t="s">
        <v>340</v>
      </c>
      <c r="B189" s="362" t="s">
        <v>100</v>
      </c>
      <c r="C189" s="173">
        <v>1030</v>
      </c>
      <c r="D189" s="344">
        <f t="shared" ref="D189:F190" si="32">D190</f>
        <v>4.5</v>
      </c>
      <c r="E189" s="310">
        <f t="shared" si="32"/>
        <v>1.6</v>
      </c>
      <c r="F189" s="344">
        <f t="shared" si="32"/>
        <v>0</v>
      </c>
      <c r="G189" s="310">
        <f t="shared" si="25"/>
        <v>-1.6</v>
      </c>
      <c r="H189" s="310">
        <f t="shared" si="26"/>
        <v>0</v>
      </c>
      <c r="I189" s="363"/>
    </row>
    <row r="190" spans="1:11" s="334" customFormat="1" ht="40.5" customHeight="1">
      <c r="A190" s="189" t="s">
        <v>341</v>
      </c>
      <c r="B190" s="338" t="s">
        <v>226</v>
      </c>
      <c r="C190" s="355">
        <v>1034</v>
      </c>
      <c r="D190" s="349">
        <f t="shared" si="32"/>
        <v>4.5</v>
      </c>
      <c r="E190" s="349">
        <f t="shared" si="32"/>
        <v>1.6</v>
      </c>
      <c r="F190" s="349">
        <f t="shared" si="32"/>
        <v>0</v>
      </c>
      <c r="G190" s="319">
        <f t="shared" si="25"/>
        <v>-1.6</v>
      </c>
      <c r="H190" s="319">
        <f t="shared" si="26"/>
        <v>0</v>
      </c>
      <c r="I190" s="340"/>
      <c r="K190" s="335"/>
    </row>
    <row r="191" spans="1:11" ht="26.25" customHeight="1">
      <c r="A191" s="171"/>
      <c r="B191" s="42" t="s">
        <v>227</v>
      </c>
      <c r="C191" s="175"/>
      <c r="D191" s="347">
        <v>4.5</v>
      </c>
      <c r="E191" s="315">
        <v>1.6</v>
      </c>
      <c r="F191" s="347"/>
      <c r="G191" s="315">
        <f t="shared" si="25"/>
        <v>-1.6</v>
      </c>
      <c r="H191" s="315">
        <f t="shared" si="26"/>
        <v>0</v>
      </c>
      <c r="I191" s="41"/>
    </row>
    <row r="192" spans="1:11" ht="27.75" customHeight="1">
      <c r="A192" s="174" t="s">
        <v>272</v>
      </c>
      <c r="B192" s="285" t="s">
        <v>277</v>
      </c>
      <c r="C192" s="175"/>
      <c r="D192" s="344">
        <f>D194</f>
        <v>258.09999999999997</v>
      </c>
      <c r="E192" s="310">
        <f>E194</f>
        <v>129.4</v>
      </c>
      <c r="F192" s="344">
        <f>F194</f>
        <v>122.8</v>
      </c>
      <c r="G192" s="310">
        <f t="shared" si="25"/>
        <v>-6.6000000000000085</v>
      </c>
      <c r="H192" s="310">
        <f t="shared" si="26"/>
        <v>94.899536321483765</v>
      </c>
      <c r="I192" s="41"/>
    </row>
    <row r="193" spans="1:9" ht="24.75" customHeight="1">
      <c r="A193" s="174"/>
      <c r="B193" s="346" t="s">
        <v>93</v>
      </c>
      <c r="C193" s="175"/>
      <c r="D193" s="344"/>
      <c r="E193" s="315"/>
      <c r="F193" s="344"/>
      <c r="G193" s="315"/>
      <c r="H193" s="310"/>
      <c r="I193" s="41"/>
    </row>
    <row r="194" spans="1:9" ht="29.25" customHeight="1">
      <c r="A194" s="174" t="s">
        <v>309</v>
      </c>
      <c r="B194" s="285" t="s">
        <v>97</v>
      </c>
      <c r="C194" s="173">
        <v>1010</v>
      </c>
      <c r="D194" s="344">
        <f>D201+D202+D195</f>
        <v>258.09999999999997</v>
      </c>
      <c r="E194" s="310">
        <f t="shared" ref="E194:F194" si="33">E201+E202+E195</f>
        <v>129.4</v>
      </c>
      <c r="F194" s="344">
        <f t="shared" si="33"/>
        <v>122.8</v>
      </c>
      <c r="G194" s="310">
        <f t="shared" si="25"/>
        <v>-6.6000000000000085</v>
      </c>
      <c r="H194" s="310">
        <f t="shared" si="26"/>
        <v>94.899536321483765</v>
      </c>
      <c r="I194" s="41"/>
    </row>
    <row r="195" spans="1:9" ht="27.75" customHeight="1">
      <c r="A195" s="189" t="s">
        <v>312</v>
      </c>
      <c r="B195" s="190" t="s">
        <v>147</v>
      </c>
      <c r="C195" s="191">
        <v>1011</v>
      </c>
      <c r="D195" s="349">
        <f>D196+D197+D198+D199</f>
        <v>9.8999999999999986</v>
      </c>
      <c r="E195" s="349">
        <f t="shared" ref="E195" si="34">E196+E197+E198+E199</f>
        <v>3.3000000000000003</v>
      </c>
      <c r="F195" s="349">
        <f>F196+F197+F198+F199+F200</f>
        <v>14.2</v>
      </c>
      <c r="G195" s="319">
        <f t="shared" si="25"/>
        <v>10.899999999999999</v>
      </c>
      <c r="H195" s="319">
        <f t="shared" si="26"/>
        <v>430.30303030303025</v>
      </c>
      <c r="I195" s="41"/>
    </row>
    <row r="196" spans="1:9" ht="21.75" customHeight="1">
      <c r="A196" s="189"/>
      <c r="B196" s="283" t="s">
        <v>157</v>
      </c>
      <c r="C196" s="266"/>
      <c r="D196" s="347">
        <v>7.1</v>
      </c>
      <c r="E196" s="315">
        <v>2</v>
      </c>
      <c r="F196" s="347">
        <v>8.6</v>
      </c>
      <c r="G196" s="315">
        <f t="shared" si="25"/>
        <v>6.6</v>
      </c>
      <c r="H196" s="310">
        <f t="shared" si="26"/>
        <v>430</v>
      </c>
      <c r="I196" s="41"/>
    </row>
    <row r="197" spans="1:9" ht="21.75" customHeight="1">
      <c r="A197" s="189"/>
      <c r="B197" s="283" t="s">
        <v>158</v>
      </c>
      <c r="C197" s="266"/>
      <c r="D197" s="347">
        <v>0.3</v>
      </c>
      <c r="E197" s="315">
        <v>0.2</v>
      </c>
      <c r="F197" s="347">
        <v>0.7</v>
      </c>
      <c r="G197" s="315">
        <f t="shared" si="25"/>
        <v>0.49999999999999994</v>
      </c>
      <c r="H197" s="310">
        <f t="shared" si="26"/>
        <v>349.99999999999994</v>
      </c>
      <c r="I197" s="41"/>
    </row>
    <row r="198" spans="1:9" ht="21.75" customHeight="1">
      <c r="A198" s="189"/>
      <c r="B198" s="283" t="s">
        <v>159</v>
      </c>
      <c r="C198" s="266"/>
      <c r="D198" s="347">
        <v>2.4</v>
      </c>
      <c r="E198" s="315">
        <v>1</v>
      </c>
      <c r="F198" s="347">
        <v>4.4000000000000004</v>
      </c>
      <c r="G198" s="315">
        <f t="shared" si="25"/>
        <v>3.4000000000000004</v>
      </c>
      <c r="H198" s="310">
        <f t="shared" si="26"/>
        <v>440.00000000000006</v>
      </c>
      <c r="I198" s="41"/>
    </row>
    <row r="199" spans="1:9" ht="21.75" customHeight="1">
      <c r="A199" s="189"/>
      <c r="B199" s="283" t="s">
        <v>161</v>
      </c>
      <c r="C199" s="266"/>
      <c r="D199" s="347">
        <v>0.1</v>
      </c>
      <c r="E199" s="315">
        <v>0.1</v>
      </c>
      <c r="F199" s="347">
        <v>0.1</v>
      </c>
      <c r="G199" s="315">
        <f t="shared" si="25"/>
        <v>0</v>
      </c>
      <c r="H199" s="310">
        <f t="shared" si="26"/>
        <v>100</v>
      </c>
      <c r="I199" s="41"/>
    </row>
    <row r="200" spans="1:9" ht="25.5" customHeight="1">
      <c r="A200" s="189"/>
      <c r="B200" s="40" t="s">
        <v>321</v>
      </c>
      <c r="C200" s="266"/>
      <c r="D200" s="347"/>
      <c r="E200" s="315"/>
      <c r="F200" s="347">
        <v>0.4</v>
      </c>
      <c r="G200" s="315">
        <f t="shared" si="25"/>
        <v>0.4</v>
      </c>
      <c r="H200" s="331" t="e">
        <f t="shared" si="26"/>
        <v>#DIV/0!</v>
      </c>
      <c r="I200" s="41"/>
    </row>
    <row r="201" spans="1:9" ht="25.5" customHeight="1">
      <c r="A201" s="189" t="s">
        <v>342</v>
      </c>
      <c r="B201" s="324" t="s">
        <v>2</v>
      </c>
      <c r="C201" s="355">
        <v>1012</v>
      </c>
      <c r="D201" s="349">
        <v>200.7</v>
      </c>
      <c r="E201" s="319">
        <v>103.4</v>
      </c>
      <c r="F201" s="349">
        <v>91.1</v>
      </c>
      <c r="G201" s="319">
        <f t="shared" si="25"/>
        <v>-12.300000000000011</v>
      </c>
      <c r="H201" s="319">
        <f t="shared" si="26"/>
        <v>88.104448742746598</v>
      </c>
      <c r="I201" s="41"/>
    </row>
    <row r="202" spans="1:9" ht="21.75" customHeight="1">
      <c r="A202" s="189" t="s">
        <v>343</v>
      </c>
      <c r="B202" s="324" t="s">
        <v>3</v>
      </c>
      <c r="C202" s="355">
        <v>1013</v>
      </c>
      <c r="D202" s="349">
        <v>47.5</v>
      </c>
      <c r="E202" s="319">
        <v>22.7</v>
      </c>
      <c r="F202" s="349">
        <v>17.5</v>
      </c>
      <c r="G202" s="319">
        <f t="shared" si="25"/>
        <v>-5.1999999999999993</v>
      </c>
      <c r="H202" s="319">
        <f t="shared" si="26"/>
        <v>77.092511013215855</v>
      </c>
      <c r="I202" s="41"/>
    </row>
    <row r="203" spans="1:9" ht="26.25" customHeight="1">
      <c r="A203" s="174" t="s">
        <v>273</v>
      </c>
      <c r="B203" s="362" t="s">
        <v>294</v>
      </c>
      <c r="C203" s="173"/>
      <c r="D203" s="344">
        <f>D205</f>
        <v>0.2</v>
      </c>
      <c r="E203" s="315"/>
      <c r="F203" s="344">
        <f>F205</f>
        <v>0</v>
      </c>
      <c r="G203" s="310">
        <f t="shared" ref="G203:G207" si="35">F203-E203</f>
        <v>0</v>
      </c>
      <c r="H203" s="364" t="e">
        <f t="shared" ref="H203:H207" si="36">(F203/E203)*100</f>
        <v>#DIV/0!</v>
      </c>
      <c r="I203" s="41"/>
    </row>
    <row r="204" spans="1:9" ht="26.25" customHeight="1">
      <c r="A204" s="171"/>
      <c r="B204" s="172" t="s">
        <v>93</v>
      </c>
      <c r="C204" s="173"/>
      <c r="D204" s="347"/>
      <c r="E204" s="315"/>
      <c r="F204" s="347"/>
      <c r="G204" s="315"/>
      <c r="H204" s="331"/>
      <c r="I204" s="41"/>
    </row>
    <row r="205" spans="1:9" s="29" customFormat="1" ht="26.25" customHeight="1">
      <c r="A205" s="174" t="s">
        <v>344</v>
      </c>
      <c r="B205" s="192" t="s">
        <v>100</v>
      </c>
      <c r="C205" s="173">
        <v>1030</v>
      </c>
      <c r="D205" s="344">
        <f>D206</f>
        <v>0.2</v>
      </c>
      <c r="E205" s="310"/>
      <c r="F205" s="344">
        <f>F206</f>
        <v>0</v>
      </c>
      <c r="G205" s="310">
        <f t="shared" si="35"/>
        <v>0</v>
      </c>
      <c r="H205" s="331" t="e">
        <f t="shared" si="36"/>
        <v>#DIV/0!</v>
      </c>
      <c r="I205" s="363"/>
    </row>
    <row r="206" spans="1:9" s="335" customFormat="1" ht="26.25" customHeight="1">
      <c r="A206" s="189" t="s">
        <v>345</v>
      </c>
      <c r="B206" s="190" t="s">
        <v>147</v>
      </c>
      <c r="C206" s="191">
        <v>1031</v>
      </c>
      <c r="D206" s="349">
        <f>D207</f>
        <v>0.2</v>
      </c>
      <c r="E206" s="319"/>
      <c r="F206" s="349">
        <f>F207</f>
        <v>0</v>
      </c>
      <c r="G206" s="319">
        <f t="shared" si="35"/>
        <v>0</v>
      </c>
      <c r="H206" s="357" t="e">
        <f t="shared" si="36"/>
        <v>#DIV/0!</v>
      </c>
      <c r="I206" s="365"/>
    </row>
    <row r="207" spans="1:9" ht="26.25" customHeight="1">
      <c r="A207" s="171"/>
      <c r="B207" s="42" t="s">
        <v>295</v>
      </c>
      <c r="C207" s="175"/>
      <c r="D207" s="347">
        <v>0.2</v>
      </c>
      <c r="E207" s="315"/>
      <c r="F207" s="347"/>
      <c r="G207" s="315">
        <f t="shared" si="35"/>
        <v>0</v>
      </c>
      <c r="H207" s="331" t="e">
        <f t="shared" si="36"/>
        <v>#DIV/0!</v>
      </c>
      <c r="I207" s="41"/>
    </row>
    <row r="208" spans="1:9">
      <c r="A208" s="366"/>
      <c r="B208" s="367"/>
      <c r="C208" s="368"/>
      <c r="D208" s="369"/>
      <c r="E208" s="370"/>
      <c r="F208" s="369"/>
      <c r="G208" s="297"/>
      <c r="H208" s="371"/>
      <c r="I208" s="41"/>
    </row>
    <row r="209" spans="1:11">
      <c r="A209" s="41"/>
      <c r="B209" s="367"/>
      <c r="C209" s="372"/>
      <c r="D209" s="373"/>
      <c r="E209" s="374"/>
      <c r="F209" s="375"/>
      <c r="G209" s="375"/>
      <c r="H209" s="374"/>
      <c r="I209" s="41"/>
    </row>
    <row r="210" spans="1:11" ht="19.5">
      <c r="A210" s="41"/>
      <c r="B210" s="376" t="s">
        <v>228</v>
      </c>
      <c r="C210" s="377"/>
      <c r="D210" s="378"/>
      <c r="E210" s="379"/>
      <c r="F210" s="380"/>
      <c r="G210" s="381" t="s">
        <v>263</v>
      </c>
      <c r="H210" s="381"/>
      <c r="I210" s="53"/>
    </row>
    <row r="211" spans="1:11" s="128" customFormat="1">
      <c r="A211" s="127"/>
      <c r="B211" s="187" t="s">
        <v>10</v>
      </c>
      <c r="C211" s="159"/>
      <c r="D211" s="225" t="s">
        <v>11</v>
      </c>
      <c r="E211" s="225"/>
      <c r="F211" s="138"/>
      <c r="G211" s="227" t="s">
        <v>257</v>
      </c>
      <c r="H211" s="227"/>
      <c r="I211" s="160"/>
      <c r="K211" s="157"/>
    </row>
    <row r="212" spans="1:11">
      <c r="A212" s="41"/>
      <c r="B212" s="47"/>
      <c r="C212" s="48"/>
      <c r="D212" s="179"/>
      <c r="E212" s="49"/>
      <c r="F212" s="49"/>
      <c r="G212" s="49"/>
      <c r="H212" s="158"/>
      <c r="I212" s="41"/>
    </row>
    <row r="213" spans="1:11">
      <c r="B213" s="31"/>
    </row>
    <row r="214" spans="1:11">
      <c r="B214" s="31"/>
    </row>
    <row r="215" spans="1:11">
      <c r="B215" s="31"/>
    </row>
    <row r="216" spans="1:11">
      <c r="B216" s="31"/>
    </row>
    <row r="217" spans="1:11">
      <c r="B217" s="31"/>
    </row>
    <row r="218" spans="1:11">
      <c r="B218" s="31"/>
    </row>
    <row r="219" spans="1:11">
      <c r="B219" s="31"/>
    </row>
    <row r="220" spans="1:11">
      <c r="B220" s="31"/>
    </row>
    <row r="221" spans="1:11">
      <c r="B221" s="31"/>
    </row>
    <row r="222" spans="1:11">
      <c r="B222" s="31"/>
    </row>
    <row r="223" spans="1:11">
      <c r="B223" s="31"/>
    </row>
    <row r="224" spans="1:11">
      <c r="B224" s="31"/>
    </row>
    <row r="225" spans="2:2">
      <c r="B225" s="31"/>
    </row>
    <row r="226" spans="2:2">
      <c r="B226" s="31"/>
    </row>
    <row r="227" spans="2:2">
      <c r="B227" s="31"/>
    </row>
    <row r="228" spans="2:2">
      <c r="B228" s="31"/>
    </row>
    <row r="229" spans="2:2">
      <c r="B229" s="31"/>
    </row>
    <row r="230" spans="2:2">
      <c r="B230" s="31"/>
    </row>
    <row r="231" spans="2:2">
      <c r="B231" s="31"/>
    </row>
    <row r="232" spans="2:2">
      <c r="B232" s="31"/>
    </row>
    <row r="233" spans="2:2">
      <c r="B233" s="31"/>
    </row>
    <row r="234" spans="2:2">
      <c r="B234" s="31"/>
    </row>
  </sheetData>
  <mergeCells count="6">
    <mergeCell ref="D210:E210"/>
    <mergeCell ref="G210:H210"/>
    <mergeCell ref="D211:E211"/>
    <mergeCell ref="B1:H1"/>
    <mergeCell ref="A5:B5"/>
    <mergeCell ref="G211:H211"/>
  </mergeCells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152"/>
  <sheetViews>
    <sheetView view="pageBreakPreview" zoomScale="80" zoomScaleNormal="100" zoomScaleSheetLayoutView="80" workbookViewId="0">
      <selection activeCell="E8" sqref="E8"/>
    </sheetView>
  </sheetViews>
  <sheetFormatPr defaultRowHeight="18.75"/>
  <cols>
    <col min="1" max="1" width="69" style="21" customWidth="1"/>
    <col min="2" max="2" width="12" style="30" customWidth="1"/>
    <col min="3" max="3" width="16.140625" style="122" customWidth="1"/>
    <col min="4" max="4" width="16.7109375" style="122" customWidth="1"/>
    <col min="5" max="5" width="16.140625" style="122" customWidth="1"/>
    <col min="6" max="6" width="16" style="30" customWidth="1"/>
    <col min="7" max="7" width="16.42578125" style="21" customWidth="1"/>
    <col min="8" max="16384" width="9.140625" style="21"/>
  </cols>
  <sheetData>
    <row r="1" spans="1:8" ht="27.75" customHeight="1">
      <c r="A1" s="224" t="s">
        <v>112</v>
      </c>
      <c r="B1" s="224"/>
      <c r="C1" s="224"/>
      <c r="D1" s="224"/>
      <c r="E1" s="224"/>
      <c r="F1" s="224"/>
    </row>
    <row r="2" spans="1:8" ht="19.5" customHeight="1">
      <c r="A2" s="22"/>
      <c r="B2" s="23"/>
      <c r="C2" s="178"/>
      <c r="D2" s="178"/>
      <c r="E2" s="178"/>
      <c r="F2" s="23"/>
      <c r="G2" s="34" t="s">
        <v>72</v>
      </c>
    </row>
    <row r="3" spans="1:8" ht="64.5" customHeight="1">
      <c r="A3" s="25" t="s">
        <v>23</v>
      </c>
      <c r="B3" s="26" t="s">
        <v>5</v>
      </c>
      <c r="C3" s="180" t="s">
        <v>291</v>
      </c>
      <c r="D3" s="180" t="s">
        <v>316</v>
      </c>
      <c r="E3" s="180" t="s">
        <v>317</v>
      </c>
      <c r="F3" s="32" t="s">
        <v>122</v>
      </c>
      <c r="G3" s="33" t="s">
        <v>123</v>
      </c>
    </row>
    <row r="4" spans="1:8" ht="24" customHeight="1">
      <c r="A4" s="28">
        <v>1</v>
      </c>
      <c r="B4" s="2">
        <v>2</v>
      </c>
      <c r="C4" s="121">
        <v>3</v>
      </c>
      <c r="D4" s="121">
        <v>4</v>
      </c>
      <c r="E4" s="121">
        <v>5</v>
      </c>
      <c r="F4" s="2">
        <v>6</v>
      </c>
      <c r="G4" s="27">
        <v>7</v>
      </c>
    </row>
    <row r="5" spans="1:8" ht="48" customHeight="1">
      <c r="A5" s="46" t="s">
        <v>13</v>
      </c>
      <c r="B5" s="52">
        <v>4000</v>
      </c>
      <c r="C5" s="45">
        <f>SUM(C6,C11,)</f>
        <v>158.9</v>
      </c>
      <c r="D5" s="45">
        <f>SUM(D6,D11,)</f>
        <v>0</v>
      </c>
      <c r="E5" s="45">
        <f>SUM(E6,E11,)</f>
        <v>247.10000000000002</v>
      </c>
      <c r="F5" s="45">
        <f>SUM(F6,F11,)</f>
        <v>247.10000000000002</v>
      </c>
      <c r="G5" s="203" t="e">
        <f t="shared" ref="G5:G9" si="0">(E5/D5)*100</f>
        <v>#DIV/0!</v>
      </c>
      <c r="H5" s="53"/>
    </row>
    <row r="6" spans="1:8" ht="27.75" customHeight="1">
      <c r="A6" s="56" t="s">
        <v>0</v>
      </c>
      <c r="B6" s="57">
        <v>4020</v>
      </c>
      <c r="C6" s="44">
        <f>SUM(C7:C10)</f>
        <v>158.9</v>
      </c>
      <c r="D6" s="44">
        <f>SUM(D7:D9)</f>
        <v>0</v>
      </c>
      <c r="E6" s="44">
        <f>SUM(E7:E10)</f>
        <v>230.60000000000002</v>
      </c>
      <c r="F6" s="55">
        <f t="shared" ref="F6" si="1">E6-D6</f>
        <v>230.60000000000002</v>
      </c>
      <c r="G6" s="167" t="e">
        <f t="shared" si="0"/>
        <v>#DIV/0!</v>
      </c>
      <c r="H6" s="53"/>
    </row>
    <row r="7" spans="1:8" ht="27" customHeight="1">
      <c r="A7" s="131" t="s">
        <v>325</v>
      </c>
      <c r="B7" s="124"/>
      <c r="C7" s="43"/>
      <c r="D7" s="43"/>
      <c r="E7" s="82">
        <v>57.3</v>
      </c>
      <c r="F7" s="54">
        <f t="shared" ref="F7:F9" si="2">E7-D7</f>
        <v>57.3</v>
      </c>
      <c r="G7" s="167" t="e">
        <f t="shared" si="0"/>
        <v>#DIV/0!</v>
      </c>
      <c r="H7" s="53"/>
    </row>
    <row r="8" spans="1:8" ht="49.5" customHeight="1">
      <c r="A8" s="131" t="s">
        <v>326</v>
      </c>
      <c r="B8" s="124"/>
      <c r="C8" s="43"/>
      <c r="D8" s="43"/>
      <c r="E8" s="82">
        <v>120</v>
      </c>
      <c r="F8" s="54">
        <f t="shared" si="2"/>
        <v>120</v>
      </c>
      <c r="G8" s="167" t="e">
        <f t="shared" si="0"/>
        <v>#DIV/0!</v>
      </c>
      <c r="H8" s="53"/>
    </row>
    <row r="9" spans="1:8" ht="26.25" customHeight="1">
      <c r="A9" s="131" t="s">
        <v>299</v>
      </c>
      <c r="B9" s="124"/>
      <c r="C9" s="43"/>
      <c r="D9" s="43"/>
      <c r="E9" s="82">
        <v>53.3</v>
      </c>
      <c r="F9" s="54">
        <f t="shared" si="2"/>
        <v>53.3</v>
      </c>
      <c r="G9" s="167" t="e">
        <f t="shared" si="0"/>
        <v>#DIV/0!</v>
      </c>
      <c r="H9" s="53"/>
    </row>
    <row r="10" spans="1:8" ht="30.75" customHeight="1">
      <c r="A10" s="125" t="s">
        <v>299</v>
      </c>
      <c r="B10" s="124"/>
      <c r="C10" s="43">
        <v>158.9</v>
      </c>
      <c r="D10" s="43"/>
      <c r="E10" s="43"/>
      <c r="F10" s="54"/>
      <c r="G10" s="116" t="e">
        <f t="shared" ref="G10" si="3">(E10/D10)*100</f>
        <v>#DIV/0!</v>
      </c>
      <c r="H10" s="53"/>
    </row>
    <row r="11" spans="1:8" ht="42" customHeight="1">
      <c r="A11" s="56" t="s">
        <v>262</v>
      </c>
      <c r="B11" s="58">
        <v>4030</v>
      </c>
      <c r="C11" s="44"/>
      <c r="D11" s="44"/>
      <c r="E11" s="44">
        <v>16.5</v>
      </c>
      <c r="F11" s="55">
        <f t="shared" ref="F11" si="4">E11-D11</f>
        <v>16.5</v>
      </c>
      <c r="G11" s="167" t="e">
        <f t="shared" ref="G11" si="5">(E11/D11)*100</f>
        <v>#DIV/0!</v>
      </c>
      <c r="H11" s="59"/>
    </row>
    <row r="12" spans="1:8">
      <c r="B12" s="111"/>
      <c r="C12" s="130"/>
      <c r="D12" s="130"/>
      <c r="E12" s="130"/>
      <c r="F12" s="112"/>
      <c r="G12" s="113"/>
      <c r="H12" s="53"/>
    </row>
    <row r="13" spans="1:8" ht="20.25">
      <c r="A13" s="169" t="s">
        <v>228</v>
      </c>
      <c r="B13" s="60"/>
      <c r="C13" s="228"/>
      <c r="D13" s="229"/>
      <c r="E13" s="181"/>
      <c r="F13" s="222" t="s">
        <v>263</v>
      </c>
      <c r="G13" s="222"/>
      <c r="H13" s="114"/>
    </row>
    <row r="14" spans="1:8" ht="20.25">
      <c r="A14" s="110" t="s">
        <v>10</v>
      </c>
      <c r="B14" s="51"/>
      <c r="C14" s="225" t="s">
        <v>11</v>
      </c>
      <c r="D14" s="225"/>
      <c r="E14" s="182"/>
      <c r="F14" s="230" t="s">
        <v>229</v>
      </c>
      <c r="G14" s="230"/>
      <c r="H14" s="230"/>
    </row>
    <row r="16" spans="1:8">
      <c r="A16" s="31"/>
    </row>
    <row r="17" spans="1:1">
      <c r="A17" s="31"/>
    </row>
    <row r="18" spans="1:1">
      <c r="A18" s="31"/>
    </row>
    <row r="19" spans="1:1">
      <c r="A19" s="31"/>
    </row>
    <row r="20" spans="1:1">
      <c r="A20" s="31"/>
    </row>
    <row r="21" spans="1:1">
      <c r="A21" s="31"/>
    </row>
    <row r="22" spans="1:1">
      <c r="A22" s="31"/>
    </row>
    <row r="23" spans="1:1">
      <c r="A23" s="31"/>
    </row>
    <row r="24" spans="1:1">
      <c r="A24" s="31"/>
    </row>
    <row r="25" spans="1:1">
      <c r="A25" s="31"/>
    </row>
    <row r="26" spans="1:1">
      <c r="A26" s="31"/>
    </row>
    <row r="27" spans="1:1">
      <c r="A27" s="31"/>
    </row>
    <row r="28" spans="1:1">
      <c r="A28" s="31"/>
    </row>
    <row r="29" spans="1:1">
      <c r="A29" s="31"/>
    </row>
    <row r="30" spans="1:1">
      <c r="A30" s="31"/>
    </row>
    <row r="31" spans="1:1">
      <c r="A31" s="31"/>
    </row>
    <row r="32" spans="1:1">
      <c r="A32" s="31"/>
    </row>
    <row r="33" spans="1:1">
      <c r="A33" s="31"/>
    </row>
    <row r="34" spans="1:1">
      <c r="A34" s="31"/>
    </row>
    <row r="35" spans="1:1">
      <c r="A35" s="31"/>
    </row>
    <row r="36" spans="1:1">
      <c r="A36" s="31"/>
    </row>
    <row r="37" spans="1:1">
      <c r="A37" s="31"/>
    </row>
    <row r="38" spans="1:1">
      <c r="A38" s="31"/>
    </row>
    <row r="39" spans="1:1">
      <c r="A39" s="31"/>
    </row>
    <row r="40" spans="1:1">
      <c r="A40" s="31"/>
    </row>
    <row r="41" spans="1:1">
      <c r="A41" s="31"/>
    </row>
    <row r="42" spans="1:1">
      <c r="A42" s="31"/>
    </row>
    <row r="43" spans="1:1">
      <c r="A43" s="31"/>
    </row>
    <row r="44" spans="1:1">
      <c r="A44" s="31"/>
    </row>
    <row r="45" spans="1:1">
      <c r="A45" s="31"/>
    </row>
    <row r="46" spans="1:1">
      <c r="A46" s="31"/>
    </row>
    <row r="47" spans="1:1">
      <c r="A47" s="31"/>
    </row>
    <row r="48" spans="1:1">
      <c r="A48" s="31"/>
    </row>
    <row r="49" spans="1:1">
      <c r="A49" s="31"/>
    </row>
    <row r="50" spans="1:1">
      <c r="A50" s="31"/>
    </row>
    <row r="51" spans="1:1">
      <c r="A51" s="31"/>
    </row>
    <row r="52" spans="1:1">
      <c r="A52" s="31"/>
    </row>
    <row r="53" spans="1:1">
      <c r="A53" s="31"/>
    </row>
    <row r="54" spans="1:1">
      <c r="A54" s="31"/>
    </row>
    <row r="55" spans="1:1">
      <c r="A55" s="31"/>
    </row>
    <row r="56" spans="1:1">
      <c r="A56" s="31"/>
    </row>
    <row r="57" spans="1:1">
      <c r="A57" s="31"/>
    </row>
    <row r="58" spans="1:1">
      <c r="A58" s="31"/>
    </row>
    <row r="59" spans="1:1">
      <c r="A59" s="31"/>
    </row>
    <row r="60" spans="1:1">
      <c r="A60" s="31"/>
    </row>
    <row r="61" spans="1:1">
      <c r="A61" s="31"/>
    </row>
    <row r="62" spans="1:1">
      <c r="A62" s="31"/>
    </row>
    <row r="63" spans="1:1">
      <c r="A63" s="31"/>
    </row>
    <row r="64" spans="1:1">
      <c r="A64" s="31"/>
    </row>
    <row r="65" spans="1:1">
      <c r="A65" s="31"/>
    </row>
    <row r="66" spans="1:1">
      <c r="A66" s="31"/>
    </row>
    <row r="67" spans="1:1">
      <c r="A67" s="31"/>
    </row>
    <row r="68" spans="1:1">
      <c r="A68" s="31"/>
    </row>
    <row r="69" spans="1:1">
      <c r="A69" s="31"/>
    </row>
    <row r="70" spans="1:1">
      <c r="A70" s="31"/>
    </row>
    <row r="71" spans="1:1">
      <c r="A71" s="31"/>
    </row>
    <row r="72" spans="1:1">
      <c r="A72" s="31"/>
    </row>
    <row r="73" spans="1:1">
      <c r="A73" s="31"/>
    </row>
    <row r="74" spans="1:1">
      <c r="A74" s="31"/>
    </row>
    <row r="75" spans="1:1">
      <c r="A75" s="31"/>
    </row>
    <row r="76" spans="1:1">
      <c r="A76" s="31"/>
    </row>
    <row r="77" spans="1:1">
      <c r="A77" s="31"/>
    </row>
    <row r="78" spans="1:1">
      <c r="A78" s="31"/>
    </row>
    <row r="79" spans="1:1">
      <c r="A79" s="31"/>
    </row>
    <row r="80" spans="1:1">
      <c r="A80" s="31"/>
    </row>
    <row r="81" spans="1:1">
      <c r="A81" s="31"/>
    </row>
    <row r="82" spans="1:1">
      <c r="A82" s="31"/>
    </row>
    <row r="83" spans="1:1">
      <c r="A83" s="31"/>
    </row>
    <row r="84" spans="1:1">
      <c r="A84" s="31"/>
    </row>
    <row r="85" spans="1:1">
      <c r="A85" s="31"/>
    </row>
    <row r="86" spans="1:1">
      <c r="A86" s="31"/>
    </row>
    <row r="87" spans="1:1">
      <c r="A87" s="31"/>
    </row>
    <row r="88" spans="1:1">
      <c r="A88" s="31"/>
    </row>
    <row r="89" spans="1:1">
      <c r="A89" s="31"/>
    </row>
    <row r="90" spans="1:1">
      <c r="A90" s="31"/>
    </row>
    <row r="91" spans="1:1">
      <c r="A91" s="31"/>
    </row>
    <row r="92" spans="1:1">
      <c r="A92" s="31"/>
    </row>
    <row r="93" spans="1:1">
      <c r="A93" s="31"/>
    </row>
    <row r="94" spans="1:1">
      <c r="A94" s="31"/>
    </row>
    <row r="95" spans="1:1">
      <c r="A95" s="31"/>
    </row>
    <row r="96" spans="1:1">
      <c r="A96" s="31"/>
    </row>
    <row r="97" spans="1:1">
      <c r="A97" s="31"/>
    </row>
    <row r="98" spans="1:1">
      <c r="A98" s="31"/>
    </row>
    <row r="99" spans="1:1">
      <c r="A99" s="31"/>
    </row>
    <row r="100" spans="1:1">
      <c r="A100" s="31"/>
    </row>
    <row r="101" spans="1:1">
      <c r="A101" s="31"/>
    </row>
    <row r="102" spans="1:1">
      <c r="A102" s="31"/>
    </row>
    <row r="103" spans="1:1">
      <c r="A103" s="31"/>
    </row>
    <row r="104" spans="1:1">
      <c r="A104" s="31"/>
    </row>
    <row r="105" spans="1:1">
      <c r="A105" s="31"/>
    </row>
    <row r="106" spans="1:1">
      <c r="A106" s="31"/>
    </row>
    <row r="107" spans="1:1">
      <c r="A107" s="31"/>
    </row>
    <row r="108" spans="1:1">
      <c r="A108" s="31"/>
    </row>
    <row r="109" spans="1:1">
      <c r="A109" s="31"/>
    </row>
    <row r="110" spans="1:1">
      <c r="A110" s="31"/>
    </row>
    <row r="111" spans="1:1">
      <c r="A111" s="31"/>
    </row>
    <row r="112" spans="1:1">
      <c r="A112" s="31"/>
    </row>
    <row r="113" spans="1:1">
      <c r="A113" s="31"/>
    </row>
    <row r="114" spans="1:1">
      <c r="A114" s="31"/>
    </row>
    <row r="115" spans="1:1">
      <c r="A115" s="31"/>
    </row>
    <row r="116" spans="1:1">
      <c r="A116" s="31"/>
    </row>
    <row r="117" spans="1:1">
      <c r="A117" s="31"/>
    </row>
    <row r="118" spans="1:1">
      <c r="A118" s="31"/>
    </row>
    <row r="119" spans="1:1">
      <c r="A119" s="31"/>
    </row>
    <row r="120" spans="1:1">
      <c r="A120" s="31"/>
    </row>
    <row r="121" spans="1:1">
      <c r="A121" s="31"/>
    </row>
    <row r="122" spans="1:1">
      <c r="A122" s="31"/>
    </row>
    <row r="123" spans="1:1">
      <c r="A123" s="31"/>
    </row>
    <row r="124" spans="1:1">
      <c r="A124" s="31"/>
    </row>
    <row r="125" spans="1:1">
      <c r="A125" s="31"/>
    </row>
    <row r="126" spans="1:1">
      <c r="A126" s="31"/>
    </row>
    <row r="127" spans="1:1">
      <c r="A127" s="31"/>
    </row>
    <row r="128" spans="1:1">
      <c r="A128" s="31"/>
    </row>
    <row r="129" spans="1:1">
      <c r="A129" s="31"/>
    </row>
    <row r="130" spans="1:1">
      <c r="A130" s="31"/>
    </row>
    <row r="131" spans="1:1">
      <c r="A131" s="31"/>
    </row>
    <row r="132" spans="1:1">
      <c r="A132" s="31"/>
    </row>
    <row r="133" spans="1:1">
      <c r="A133" s="31"/>
    </row>
    <row r="134" spans="1:1">
      <c r="A134" s="31"/>
    </row>
    <row r="135" spans="1:1">
      <c r="A135" s="31"/>
    </row>
    <row r="136" spans="1:1">
      <c r="A136" s="31"/>
    </row>
    <row r="137" spans="1:1">
      <c r="A137" s="31"/>
    </row>
    <row r="138" spans="1:1">
      <c r="A138" s="31"/>
    </row>
    <row r="139" spans="1:1">
      <c r="A139" s="31"/>
    </row>
    <row r="140" spans="1:1">
      <c r="A140" s="31"/>
    </row>
    <row r="141" spans="1:1">
      <c r="A141" s="31"/>
    </row>
    <row r="142" spans="1:1">
      <c r="A142" s="31"/>
    </row>
    <row r="143" spans="1:1">
      <c r="A143" s="31"/>
    </row>
    <row r="144" spans="1:1">
      <c r="A144" s="31"/>
    </row>
    <row r="145" spans="1:1">
      <c r="A145" s="31"/>
    </row>
    <row r="146" spans="1:1">
      <c r="A146" s="31"/>
    </row>
    <row r="147" spans="1:1">
      <c r="A147" s="31"/>
    </row>
    <row r="148" spans="1:1">
      <c r="A148" s="31"/>
    </row>
    <row r="149" spans="1:1">
      <c r="A149" s="31"/>
    </row>
    <row r="150" spans="1:1">
      <c r="A150" s="31"/>
    </row>
    <row r="151" spans="1:1">
      <c r="A151" s="31"/>
    </row>
    <row r="152" spans="1:1">
      <c r="A152" s="31"/>
    </row>
  </sheetData>
  <mergeCells count="5">
    <mergeCell ref="C13:D13"/>
    <mergeCell ref="C14:D14"/>
    <mergeCell ref="F14:H14"/>
    <mergeCell ref="A1:F1"/>
    <mergeCell ref="F13:G13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1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N33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T11" sqref="T11"/>
    </sheetView>
  </sheetViews>
  <sheetFormatPr defaultRowHeight="20.25"/>
  <cols>
    <col min="1" max="1" width="8.28515625" style="64" customWidth="1"/>
    <col min="2" max="2" width="69.85546875" style="64" customWidth="1"/>
    <col min="3" max="3" width="15.5703125" style="64" customWidth="1"/>
    <col min="4" max="4" width="16" style="64" customWidth="1"/>
    <col min="5" max="5" width="11" style="64" hidden="1" customWidth="1"/>
    <col min="6" max="6" width="11.140625" style="64" hidden="1" customWidth="1"/>
    <col min="7" max="7" width="3.85546875" style="64" hidden="1" customWidth="1"/>
    <col min="8" max="8" width="17.140625" style="64" customWidth="1"/>
    <col min="9" max="9" width="16.85546875" style="64" customWidth="1"/>
    <col min="10" max="10" width="16.5703125" style="64" customWidth="1"/>
    <col min="11" max="11" width="16.28515625" style="64" customWidth="1"/>
    <col min="12" max="14" width="11" style="64" hidden="1" customWidth="1"/>
    <col min="15" max="15" width="16.42578125" style="64" customWidth="1"/>
    <col min="16" max="16" width="17" style="64" customWidth="1"/>
    <col min="17" max="17" width="16" style="64" hidden="1" customWidth="1"/>
    <col min="18" max="19" width="11" style="64" hidden="1" customWidth="1"/>
    <col min="20" max="20" width="16.42578125" style="64" customWidth="1"/>
    <col min="21" max="21" width="16.140625" style="64" customWidth="1"/>
    <col min="22" max="22" width="16" style="161" customWidth="1"/>
    <col min="23" max="23" width="16.28515625" style="64" customWidth="1"/>
    <col min="24" max="24" width="14.5703125" style="64" customWidth="1"/>
    <col min="25" max="25" width="15.85546875" style="64" customWidth="1"/>
    <col min="26" max="26" width="15.140625" style="64" customWidth="1"/>
    <col min="27" max="27" width="16" style="64" customWidth="1"/>
    <col min="28" max="28" width="16.5703125" style="64" customWidth="1"/>
    <col min="29" max="29" width="9.140625" style="64"/>
    <col min="30" max="30" width="16.28515625" style="64" customWidth="1"/>
    <col min="31" max="31" width="14.85546875" style="64" customWidth="1"/>
    <col min="32" max="32" width="17.42578125" style="64" customWidth="1"/>
    <col min="33" max="252" width="9.140625" style="64"/>
    <col min="253" max="253" width="8.28515625" style="64" customWidth="1"/>
    <col min="254" max="254" width="26.140625" style="64" customWidth="1"/>
    <col min="255" max="257" width="11.28515625" style="64" customWidth="1"/>
    <col min="258" max="258" width="10.28515625" style="64" customWidth="1"/>
    <col min="259" max="259" width="15.5703125" style="64" customWidth="1"/>
    <col min="260" max="260" width="16" style="64" customWidth="1"/>
    <col min="261" max="263" width="0" style="64" hidden="1" customWidth="1"/>
    <col min="264" max="264" width="17.140625" style="64" customWidth="1"/>
    <col min="265" max="265" width="16.85546875" style="64" customWidth="1"/>
    <col min="266" max="266" width="16.5703125" style="64" customWidth="1"/>
    <col min="267" max="267" width="16.28515625" style="64" customWidth="1"/>
    <col min="268" max="270" width="0" style="64" hidden="1" customWidth="1"/>
    <col min="271" max="271" width="16.42578125" style="64" customWidth="1"/>
    <col min="272" max="272" width="17" style="64" customWidth="1"/>
    <col min="273" max="275" width="0" style="64" hidden="1" customWidth="1"/>
    <col min="276" max="276" width="16.42578125" style="64" customWidth="1"/>
    <col min="277" max="277" width="16.140625" style="64" customWidth="1"/>
    <col min="278" max="278" width="16" style="64" customWidth="1"/>
    <col min="279" max="279" width="16.28515625" style="64" customWidth="1"/>
    <col min="280" max="280" width="14.5703125" style="64" customWidth="1"/>
    <col min="281" max="281" width="15.85546875" style="64" customWidth="1"/>
    <col min="282" max="282" width="15.140625" style="64" customWidth="1"/>
    <col min="283" max="283" width="16" style="64" customWidth="1"/>
    <col min="284" max="284" width="16.5703125" style="64" customWidth="1"/>
    <col min="285" max="508" width="9.140625" style="64"/>
    <col min="509" max="509" width="8.28515625" style="64" customWidth="1"/>
    <col min="510" max="510" width="26.140625" style="64" customWidth="1"/>
    <col min="511" max="513" width="11.28515625" style="64" customWidth="1"/>
    <col min="514" max="514" width="10.28515625" style="64" customWidth="1"/>
    <col min="515" max="515" width="15.5703125" style="64" customWidth="1"/>
    <col min="516" max="516" width="16" style="64" customWidth="1"/>
    <col min="517" max="519" width="0" style="64" hidden="1" customWidth="1"/>
    <col min="520" max="520" width="17.140625" style="64" customWidth="1"/>
    <col min="521" max="521" width="16.85546875" style="64" customWidth="1"/>
    <col min="522" max="522" width="16.5703125" style="64" customWidth="1"/>
    <col min="523" max="523" width="16.28515625" style="64" customWidth="1"/>
    <col min="524" max="526" width="0" style="64" hidden="1" customWidth="1"/>
    <col min="527" max="527" width="16.42578125" style="64" customWidth="1"/>
    <col min="528" max="528" width="17" style="64" customWidth="1"/>
    <col min="529" max="531" width="0" style="64" hidden="1" customWidth="1"/>
    <col min="532" max="532" width="16.42578125" style="64" customWidth="1"/>
    <col min="533" max="533" width="16.140625" style="64" customWidth="1"/>
    <col min="534" max="534" width="16" style="64" customWidth="1"/>
    <col min="535" max="535" width="16.28515625" style="64" customWidth="1"/>
    <col min="536" max="536" width="14.5703125" style="64" customWidth="1"/>
    <col min="537" max="537" width="15.85546875" style="64" customWidth="1"/>
    <col min="538" max="538" width="15.140625" style="64" customWidth="1"/>
    <col min="539" max="539" width="16" style="64" customWidth="1"/>
    <col min="540" max="540" width="16.5703125" style="64" customWidth="1"/>
    <col min="541" max="764" width="9.140625" style="64"/>
    <col min="765" max="765" width="8.28515625" style="64" customWidth="1"/>
    <col min="766" max="766" width="26.140625" style="64" customWidth="1"/>
    <col min="767" max="769" width="11.28515625" style="64" customWidth="1"/>
    <col min="770" max="770" width="10.28515625" style="64" customWidth="1"/>
    <col min="771" max="771" width="15.5703125" style="64" customWidth="1"/>
    <col min="772" max="772" width="16" style="64" customWidth="1"/>
    <col min="773" max="775" width="0" style="64" hidden="1" customWidth="1"/>
    <col min="776" max="776" width="17.140625" style="64" customWidth="1"/>
    <col min="777" max="777" width="16.85546875" style="64" customWidth="1"/>
    <col min="778" max="778" width="16.5703125" style="64" customWidth="1"/>
    <col min="779" max="779" width="16.28515625" style="64" customWidth="1"/>
    <col min="780" max="782" width="0" style="64" hidden="1" customWidth="1"/>
    <col min="783" max="783" width="16.42578125" style="64" customWidth="1"/>
    <col min="784" max="784" width="17" style="64" customWidth="1"/>
    <col min="785" max="787" width="0" style="64" hidden="1" customWidth="1"/>
    <col min="788" max="788" width="16.42578125" style="64" customWidth="1"/>
    <col min="789" max="789" width="16.140625" style="64" customWidth="1"/>
    <col min="790" max="790" width="16" style="64" customWidth="1"/>
    <col min="791" max="791" width="16.28515625" style="64" customWidth="1"/>
    <col min="792" max="792" width="14.5703125" style="64" customWidth="1"/>
    <col min="793" max="793" width="15.85546875" style="64" customWidth="1"/>
    <col min="794" max="794" width="15.140625" style="64" customWidth="1"/>
    <col min="795" max="795" width="16" style="64" customWidth="1"/>
    <col min="796" max="796" width="16.5703125" style="64" customWidth="1"/>
    <col min="797" max="1020" width="9.140625" style="64"/>
    <col min="1021" max="1021" width="8.28515625" style="64" customWidth="1"/>
    <col min="1022" max="1022" width="26.140625" style="64" customWidth="1"/>
    <col min="1023" max="1025" width="11.28515625" style="64" customWidth="1"/>
    <col min="1026" max="1026" width="10.28515625" style="64" customWidth="1"/>
    <col min="1027" max="1027" width="15.5703125" style="64" customWidth="1"/>
    <col min="1028" max="1028" width="16" style="64" customWidth="1"/>
    <col min="1029" max="1031" width="0" style="64" hidden="1" customWidth="1"/>
    <col min="1032" max="1032" width="17.140625" style="64" customWidth="1"/>
    <col min="1033" max="1033" width="16.85546875" style="64" customWidth="1"/>
    <col min="1034" max="1034" width="16.5703125" style="64" customWidth="1"/>
    <col min="1035" max="1035" width="16.28515625" style="64" customWidth="1"/>
    <col min="1036" max="1038" width="0" style="64" hidden="1" customWidth="1"/>
    <col min="1039" max="1039" width="16.42578125" style="64" customWidth="1"/>
    <col min="1040" max="1040" width="17" style="64" customWidth="1"/>
    <col min="1041" max="1043" width="0" style="64" hidden="1" customWidth="1"/>
    <col min="1044" max="1044" width="16.42578125" style="64" customWidth="1"/>
    <col min="1045" max="1045" width="16.140625" style="64" customWidth="1"/>
    <col min="1046" max="1046" width="16" style="64" customWidth="1"/>
    <col min="1047" max="1047" width="16.28515625" style="64" customWidth="1"/>
    <col min="1048" max="1048" width="14.5703125" style="64" customWidth="1"/>
    <col min="1049" max="1049" width="15.85546875" style="64" customWidth="1"/>
    <col min="1050" max="1050" width="15.140625" style="64" customWidth="1"/>
    <col min="1051" max="1051" width="16" style="64" customWidth="1"/>
    <col min="1052" max="1052" width="16.5703125" style="64" customWidth="1"/>
    <col min="1053" max="1276" width="9.140625" style="64"/>
    <col min="1277" max="1277" width="8.28515625" style="64" customWidth="1"/>
    <col min="1278" max="1278" width="26.140625" style="64" customWidth="1"/>
    <col min="1279" max="1281" width="11.28515625" style="64" customWidth="1"/>
    <col min="1282" max="1282" width="10.28515625" style="64" customWidth="1"/>
    <col min="1283" max="1283" width="15.5703125" style="64" customWidth="1"/>
    <col min="1284" max="1284" width="16" style="64" customWidth="1"/>
    <col min="1285" max="1287" width="0" style="64" hidden="1" customWidth="1"/>
    <col min="1288" max="1288" width="17.140625" style="64" customWidth="1"/>
    <col min="1289" max="1289" width="16.85546875" style="64" customWidth="1"/>
    <col min="1290" max="1290" width="16.5703125" style="64" customWidth="1"/>
    <col min="1291" max="1291" width="16.28515625" style="64" customWidth="1"/>
    <col min="1292" max="1294" width="0" style="64" hidden="1" customWidth="1"/>
    <col min="1295" max="1295" width="16.42578125" style="64" customWidth="1"/>
    <col min="1296" max="1296" width="17" style="64" customWidth="1"/>
    <col min="1297" max="1299" width="0" style="64" hidden="1" customWidth="1"/>
    <col min="1300" max="1300" width="16.42578125" style="64" customWidth="1"/>
    <col min="1301" max="1301" width="16.140625" style="64" customWidth="1"/>
    <col min="1302" max="1302" width="16" style="64" customWidth="1"/>
    <col min="1303" max="1303" width="16.28515625" style="64" customWidth="1"/>
    <col min="1304" max="1304" width="14.5703125" style="64" customWidth="1"/>
    <col min="1305" max="1305" width="15.85546875" style="64" customWidth="1"/>
    <col min="1306" max="1306" width="15.140625" style="64" customWidth="1"/>
    <col min="1307" max="1307" width="16" style="64" customWidth="1"/>
    <col min="1308" max="1308" width="16.5703125" style="64" customWidth="1"/>
    <col min="1309" max="1532" width="9.140625" style="64"/>
    <col min="1533" max="1533" width="8.28515625" style="64" customWidth="1"/>
    <col min="1534" max="1534" width="26.140625" style="64" customWidth="1"/>
    <col min="1535" max="1537" width="11.28515625" style="64" customWidth="1"/>
    <col min="1538" max="1538" width="10.28515625" style="64" customWidth="1"/>
    <col min="1539" max="1539" width="15.5703125" style="64" customWidth="1"/>
    <col min="1540" max="1540" width="16" style="64" customWidth="1"/>
    <col min="1541" max="1543" width="0" style="64" hidden="1" customWidth="1"/>
    <col min="1544" max="1544" width="17.140625" style="64" customWidth="1"/>
    <col min="1545" max="1545" width="16.85546875" style="64" customWidth="1"/>
    <col min="1546" max="1546" width="16.5703125" style="64" customWidth="1"/>
    <col min="1547" max="1547" width="16.28515625" style="64" customWidth="1"/>
    <col min="1548" max="1550" width="0" style="64" hidden="1" customWidth="1"/>
    <col min="1551" max="1551" width="16.42578125" style="64" customWidth="1"/>
    <col min="1552" max="1552" width="17" style="64" customWidth="1"/>
    <col min="1553" max="1555" width="0" style="64" hidden="1" customWidth="1"/>
    <col min="1556" max="1556" width="16.42578125" style="64" customWidth="1"/>
    <col min="1557" max="1557" width="16.140625" style="64" customWidth="1"/>
    <col min="1558" max="1558" width="16" style="64" customWidth="1"/>
    <col min="1559" max="1559" width="16.28515625" style="64" customWidth="1"/>
    <col min="1560" max="1560" width="14.5703125" style="64" customWidth="1"/>
    <col min="1561" max="1561" width="15.85546875" style="64" customWidth="1"/>
    <col min="1562" max="1562" width="15.140625" style="64" customWidth="1"/>
    <col min="1563" max="1563" width="16" style="64" customWidth="1"/>
    <col min="1564" max="1564" width="16.5703125" style="64" customWidth="1"/>
    <col min="1565" max="1788" width="9.140625" style="64"/>
    <col min="1789" max="1789" width="8.28515625" style="64" customWidth="1"/>
    <col min="1790" max="1790" width="26.140625" style="64" customWidth="1"/>
    <col min="1791" max="1793" width="11.28515625" style="64" customWidth="1"/>
    <col min="1794" max="1794" width="10.28515625" style="64" customWidth="1"/>
    <col min="1795" max="1795" width="15.5703125" style="64" customWidth="1"/>
    <col min="1796" max="1796" width="16" style="64" customWidth="1"/>
    <col min="1797" max="1799" width="0" style="64" hidden="1" customWidth="1"/>
    <col min="1800" max="1800" width="17.140625" style="64" customWidth="1"/>
    <col min="1801" max="1801" width="16.85546875" style="64" customWidth="1"/>
    <col min="1802" max="1802" width="16.5703125" style="64" customWidth="1"/>
    <col min="1803" max="1803" width="16.28515625" style="64" customWidth="1"/>
    <col min="1804" max="1806" width="0" style="64" hidden="1" customWidth="1"/>
    <col min="1807" max="1807" width="16.42578125" style="64" customWidth="1"/>
    <col min="1808" max="1808" width="17" style="64" customWidth="1"/>
    <col min="1809" max="1811" width="0" style="64" hidden="1" customWidth="1"/>
    <col min="1812" max="1812" width="16.42578125" style="64" customWidth="1"/>
    <col min="1813" max="1813" width="16.140625" style="64" customWidth="1"/>
    <col min="1814" max="1814" width="16" style="64" customWidth="1"/>
    <col min="1815" max="1815" width="16.28515625" style="64" customWidth="1"/>
    <col min="1816" max="1816" width="14.5703125" style="64" customWidth="1"/>
    <col min="1817" max="1817" width="15.85546875" style="64" customWidth="1"/>
    <col min="1818" max="1818" width="15.140625" style="64" customWidth="1"/>
    <col min="1819" max="1819" width="16" style="64" customWidth="1"/>
    <col min="1820" max="1820" width="16.5703125" style="64" customWidth="1"/>
    <col min="1821" max="2044" width="9.140625" style="64"/>
    <col min="2045" max="2045" width="8.28515625" style="64" customWidth="1"/>
    <col min="2046" max="2046" width="26.140625" style="64" customWidth="1"/>
    <col min="2047" max="2049" width="11.28515625" style="64" customWidth="1"/>
    <col min="2050" max="2050" width="10.28515625" style="64" customWidth="1"/>
    <col min="2051" max="2051" width="15.5703125" style="64" customWidth="1"/>
    <col min="2052" max="2052" width="16" style="64" customWidth="1"/>
    <col min="2053" max="2055" width="0" style="64" hidden="1" customWidth="1"/>
    <col min="2056" max="2056" width="17.140625" style="64" customWidth="1"/>
    <col min="2057" max="2057" width="16.85546875" style="64" customWidth="1"/>
    <col min="2058" max="2058" width="16.5703125" style="64" customWidth="1"/>
    <col min="2059" max="2059" width="16.28515625" style="64" customWidth="1"/>
    <col min="2060" max="2062" width="0" style="64" hidden="1" customWidth="1"/>
    <col min="2063" max="2063" width="16.42578125" style="64" customWidth="1"/>
    <col min="2064" max="2064" width="17" style="64" customWidth="1"/>
    <col min="2065" max="2067" width="0" style="64" hidden="1" customWidth="1"/>
    <col min="2068" max="2068" width="16.42578125" style="64" customWidth="1"/>
    <col min="2069" max="2069" width="16.140625" style="64" customWidth="1"/>
    <col min="2070" max="2070" width="16" style="64" customWidth="1"/>
    <col min="2071" max="2071" width="16.28515625" style="64" customWidth="1"/>
    <col min="2072" max="2072" width="14.5703125" style="64" customWidth="1"/>
    <col min="2073" max="2073" width="15.85546875" style="64" customWidth="1"/>
    <col min="2074" max="2074" width="15.140625" style="64" customWidth="1"/>
    <col min="2075" max="2075" width="16" style="64" customWidth="1"/>
    <col min="2076" max="2076" width="16.5703125" style="64" customWidth="1"/>
    <col min="2077" max="2300" width="9.140625" style="64"/>
    <col min="2301" max="2301" width="8.28515625" style="64" customWidth="1"/>
    <col min="2302" max="2302" width="26.140625" style="64" customWidth="1"/>
    <col min="2303" max="2305" width="11.28515625" style="64" customWidth="1"/>
    <col min="2306" max="2306" width="10.28515625" style="64" customWidth="1"/>
    <col min="2307" max="2307" width="15.5703125" style="64" customWidth="1"/>
    <col min="2308" max="2308" width="16" style="64" customWidth="1"/>
    <col min="2309" max="2311" width="0" style="64" hidden="1" customWidth="1"/>
    <col min="2312" max="2312" width="17.140625" style="64" customWidth="1"/>
    <col min="2313" max="2313" width="16.85546875" style="64" customWidth="1"/>
    <col min="2314" max="2314" width="16.5703125" style="64" customWidth="1"/>
    <col min="2315" max="2315" width="16.28515625" style="64" customWidth="1"/>
    <col min="2316" max="2318" width="0" style="64" hidden="1" customWidth="1"/>
    <col min="2319" max="2319" width="16.42578125" style="64" customWidth="1"/>
    <col min="2320" max="2320" width="17" style="64" customWidth="1"/>
    <col min="2321" max="2323" width="0" style="64" hidden="1" customWidth="1"/>
    <col min="2324" max="2324" width="16.42578125" style="64" customWidth="1"/>
    <col min="2325" max="2325" width="16.140625" style="64" customWidth="1"/>
    <col min="2326" max="2326" width="16" style="64" customWidth="1"/>
    <col min="2327" max="2327" width="16.28515625" style="64" customWidth="1"/>
    <col min="2328" max="2328" width="14.5703125" style="64" customWidth="1"/>
    <col min="2329" max="2329" width="15.85546875" style="64" customWidth="1"/>
    <col min="2330" max="2330" width="15.140625" style="64" customWidth="1"/>
    <col min="2331" max="2331" width="16" style="64" customWidth="1"/>
    <col min="2332" max="2332" width="16.5703125" style="64" customWidth="1"/>
    <col min="2333" max="2556" width="9.140625" style="64"/>
    <col min="2557" max="2557" width="8.28515625" style="64" customWidth="1"/>
    <col min="2558" max="2558" width="26.140625" style="64" customWidth="1"/>
    <col min="2559" max="2561" width="11.28515625" style="64" customWidth="1"/>
    <col min="2562" max="2562" width="10.28515625" style="64" customWidth="1"/>
    <col min="2563" max="2563" width="15.5703125" style="64" customWidth="1"/>
    <col min="2564" max="2564" width="16" style="64" customWidth="1"/>
    <col min="2565" max="2567" width="0" style="64" hidden="1" customWidth="1"/>
    <col min="2568" max="2568" width="17.140625" style="64" customWidth="1"/>
    <col min="2569" max="2569" width="16.85546875" style="64" customWidth="1"/>
    <col min="2570" max="2570" width="16.5703125" style="64" customWidth="1"/>
    <col min="2571" max="2571" width="16.28515625" style="64" customWidth="1"/>
    <col min="2572" max="2574" width="0" style="64" hidden="1" customWidth="1"/>
    <col min="2575" max="2575" width="16.42578125" style="64" customWidth="1"/>
    <col min="2576" max="2576" width="17" style="64" customWidth="1"/>
    <col min="2577" max="2579" width="0" style="64" hidden="1" customWidth="1"/>
    <col min="2580" max="2580" width="16.42578125" style="64" customWidth="1"/>
    <col min="2581" max="2581" width="16.140625" style="64" customWidth="1"/>
    <col min="2582" max="2582" width="16" style="64" customWidth="1"/>
    <col min="2583" max="2583" width="16.28515625" style="64" customWidth="1"/>
    <col min="2584" max="2584" width="14.5703125" style="64" customWidth="1"/>
    <col min="2585" max="2585" width="15.85546875" style="64" customWidth="1"/>
    <col min="2586" max="2586" width="15.140625" style="64" customWidth="1"/>
    <col min="2587" max="2587" width="16" style="64" customWidth="1"/>
    <col min="2588" max="2588" width="16.5703125" style="64" customWidth="1"/>
    <col min="2589" max="2812" width="9.140625" style="64"/>
    <col min="2813" max="2813" width="8.28515625" style="64" customWidth="1"/>
    <col min="2814" max="2814" width="26.140625" style="64" customWidth="1"/>
    <col min="2815" max="2817" width="11.28515625" style="64" customWidth="1"/>
    <col min="2818" max="2818" width="10.28515625" style="64" customWidth="1"/>
    <col min="2819" max="2819" width="15.5703125" style="64" customWidth="1"/>
    <col min="2820" max="2820" width="16" style="64" customWidth="1"/>
    <col min="2821" max="2823" width="0" style="64" hidden="1" customWidth="1"/>
    <col min="2824" max="2824" width="17.140625" style="64" customWidth="1"/>
    <col min="2825" max="2825" width="16.85546875" style="64" customWidth="1"/>
    <col min="2826" max="2826" width="16.5703125" style="64" customWidth="1"/>
    <col min="2827" max="2827" width="16.28515625" style="64" customWidth="1"/>
    <col min="2828" max="2830" width="0" style="64" hidden="1" customWidth="1"/>
    <col min="2831" max="2831" width="16.42578125" style="64" customWidth="1"/>
    <col min="2832" max="2832" width="17" style="64" customWidth="1"/>
    <col min="2833" max="2835" width="0" style="64" hidden="1" customWidth="1"/>
    <col min="2836" max="2836" width="16.42578125" style="64" customWidth="1"/>
    <col min="2837" max="2837" width="16.140625" style="64" customWidth="1"/>
    <col min="2838" max="2838" width="16" style="64" customWidth="1"/>
    <col min="2839" max="2839" width="16.28515625" style="64" customWidth="1"/>
    <col min="2840" max="2840" width="14.5703125" style="64" customWidth="1"/>
    <col min="2841" max="2841" width="15.85546875" style="64" customWidth="1"/>
    <col min="2842" max="2842" width="15.140625" style="64" customWidth="1"/>
    <col min="2843" max="2843" width="16" style="64" customWidth="1"/>
    <col min="2844" max="2844" width="16.5703125" style="64" customWidth="1"/>
    <col min="2845" max="3068" width="9.140625" style="64"/>
    <col min="3069" max="3069" width="8.28515625" style="64" customWidth="1"/>
    <col min="3070" max="3070" width="26.140625" style="64" customWidth="1"/>
    <col min="3071" max="3073" width="11.28515625" style="64" customWidth="1"/>
    <col min="3074" max="3074" width="10.28515625" style="64" customWidth="1"/>
    <col min="3075" max="3075" width="15.5703125" style="64" customWidth="1"/>
    <col min="3076" max="3076" width="16" style="64" customWidth="1"/>
    <col min="3077" max="3079" width="0" style="64" hidden="1" customWidth="1"/>
    <col min="3080" max="3080" width="17.140625" style="64" customWidth="1"/>
    <col min="3081" max="3081" width="16.85546875" style="64" customWidth="1"/>
    <col min="3082" max="3082" width="16.5703125" style="64" customWidth="1"/>
    <col min="3083" max="3083" width="16.28515625" style="64" customWidth="1"/>
    <col min="3084" max="3086" width="0" style="64" hidden="1" customWidth="1"/>
    <col min="3087" max="3087" width="16.42578125" style="64" customWidth="1"/>
    <col min="3088" max="3088" width="17" style="64" customWidth="1"/>
    <col min="3089" max="3091" width="0" style="64" hidden="1" customWidth="1"/>
    <col min="3092" max="3092" width="16.42578125" style="64" customWidth="1"/>
    <col min="3093" max="3093" width="16.140625" style="64" customWidth="1"/>
    <col min="3094" max="3094" width="16" style="64" customWidth="1"/>
    <col min="3095" max="3095" width="16.28515625" style="64" customWidth="1"/>
    <col min="3096" max="3096" width="14.5703125" style="64" customWidth="1"/>
    <col min="3097" max="3097" width="15.85546875" style="64" customWidth="1"/>
    <col min="3098" max="3098" width="15.140625" style="64" customWidth="1"/>
    <col min="3099" max="3099" width="16" style="64" customWidth="1"/>
    <col min="3100" max="3100" width="16.5703125" style="64" customWidth="1"/>
    <col min="3101" max="3324" width="9.140625" style="64"/>
    <col min="3325" max="3325" width="8.28515625" style="64" customWidth="1"/>
    <col min="3326" max="3326" width="26.140625" style="64" customWidth="1"/>
    <col min="3327" max="3329" width="11.28515625" style="64" customWidth="1"/>
    <col min="3330" max="3330" width="10.28515625" style="64" customWidth="1"/>
    <col min="3331" max="3331" width="15.5703125" style="64" customWidth="1"/>
    <col min="3332" max="3332" width="16" style="64" customWidth="1"/>
    <col min="3333" max="3335" width="0" style="64" hidden="1" customWidth="1"/>
    <col min="3336" max="3336" width="17.140625" style="64" customWidth="1"/>
    <col min="3337" max="3337" width="16.85546875" style="64" customWidth="1"/>
    <col min="3338" max="3338" width="16.5703125" style="64" customWidth="1"/>
    <col min="3339" max="3339" width="16.28515625" style="64" customWidth="1"/>
    <col min="3340" max="3342" width="0" style="64" hidden="1" customWidth="1"/>
    <col min="3343" max="3343" width="16.42578125" style="64" customWidth="1"/>
    <col min="3344" max="3344" width="17" style="64" customWidth="1"/>
    <col min="3345" max="3347" width="0" style="64" hidden="1" customWidth="1"/>
    <col min="3348" max="3348" width="16.42578125" style="64" customWidth="1"/>
    <col min="3349" max="3349" width="16.140625" style="64" customWidth="1"/>
    <col min="3350" max="3350" width="16" style="64" customWidth="1"/>
    <col min="3351" max="3351" width="16.28515625" style="64" customWidth="1"/>
    <col min="3352" max="3352" width="14.5703125" style="64" customWidth="1"/>
    <col min="3353" max="3353" width="15.85546875" style="64" customWidth="1"/>
    <col min="3354" max="3354" width="15.140625" style="64" customWidth="1"/>
    <col min="3355" max="3355" width="16" style="64" customWidth="1"/>
    <col min="3356" max="3356" width="16.5703125" style="64" customWidth="1"/>
    <col min="3357" max="3580" width="9.140625" style="64"/>
    <col min="3581" max="3581" width="8.28515625" style="64" customWidth="1"/>
    <col min="3582" max="3582" width="26.140625" style="64" customWidth="1"/>
    <col min="3583" max="3585" width="11.28515625" style="64" customWidth="1"/>
    <col min="3586" max="3586" width="10.28515625" style="64" customWidth="1"/>
    <col min="3587" max="3587" width="15.5703125" style="64" customWidth="1"/>
    <col min="3588" max="3588" width="16" style="64" customWidth="1"/>
    <col min="3589" max="3591" width="0" style="64" hidden="1" customWidth="1"/>
    <col min="3592" max="3592" width="17.140625" style="64" customWidth="1"/>
    <col min="3593" max="3593" width="16.85546875" style="64" customWidth="1"/>
    <col min="3594" max="3594" width="16.5703125" style="64" customWidth="1"/>
    <col min="3595" max="3595" width="16.28515625" style="64" customWidth="1"/>
    <col min="3596" max="3598" width="0" style="64" hidden="1" customWidth="1"/>
    <col min="3599" max="3599" width="16.42578125" style="64" customWidth="1"/>
    <col min="3600" max="3600" width="17" style="64" customWidth="1"/>
    <col min="3601" max="3603" width="0" style="64" hidden="1" customWidth="1"/>
    <col min="3604" max="3604" width="16.42578125" style="64" customWidth="1"/>
    <col min="3605" max="3605" width="16.140625" style="64" customWidth="1"/>
    <col min="3606" max="3606" width="16" style="64" customWidth="1"/>
    <col min="3607" max="3607" width="16.28515625" style="64" customWidth="1"/>
    <col min="3608" max="3608" width="14.5703125" style="64" customWidth="1"/>
    <col min="3609" max="3609" width="15.85546875" style="64" customWidth="1"/>
    <col min="3610" max="3610" width="15.140625" style="64" customWidth="1"/>
    <col min="3611" max="3611" width="16" style="64" customWidth="1"/>
    <col min="3612" max="3612" width="16.5703125" style="64" customWidth="1"/>
    <col min="3613" max="3836" width="9.140625" style="64"/>
    <col min="3837" max="3837" width="8.28515625" style="64" customWidth="1"/>
    <col min="3838" max="3838" width="26.140625" style="64" customWidth="1"/>
    <col min="3839" max="3841" width="11.28515625" style="64" customWidth="1"/>
    <col min="3842" max="3842" width="10.28515625" style="64" customWidth="1"/>
    <col min="3843" max="3843" width="15.5703125" style="64" customWidth="1"/>
    <col min="3844" max="3844" width="16" style="64" customWidth="1"/>
    <col min="3845" max="3847" width="0" style="64" hidden="1" customWidth="1"/>
    <col min="3848" max="3848" width="17.140625" style="64" customWidth="1"/>
    <col min="3849" max="3849" width="16.85546875" style="64" customWidth="1"/>
    <col min="3850" max="3850" width="16.5703125" style="64" customWidth="1"/>
    <col min="3851" max="3851" width="16.28515625" style="64" customWidth="1"/>
    <col min="3852" max="3854" width="0" style="64" hidden="1" customWidth="1"/>
    <col min="3855" max="3855" width="16.42578125" style="64" customWidth="1"/>
    <col min="3856" max="3856" width="17" style="64" customWidth="1"/>
    <col min="3857" max="3859" width="0" style="64" hidden="1" customWidth="1"/>
    <col min="3860" max="3860" width="16.42578125" style="64" customWidth="1"/>
    <col min="3861" max="3861" width="16.140625" style="64" customWidth="1"/>
    <col min="3862" max="3862" width="16" style="64" customWidth="1"/>
    <col min="3863" max="3863" width="16.28515625" style="64" customWidth="1"/>
    <col min="3864" max="3864" width="14.5703125" style="64" customWidth="1"/>
    <col min="3865" max="3865" width="15.85546875" style="64" customWidth="1"/>
    <col min="3866" max="3866" width="15.140625" style="64" customWidth="1"/>
    <col min="3867" max="3867" width="16" style="64" customWidth="1"/>
    <col min="3868" max="3868" width="16.5703125" style="64" customWidth="1"/>
    <col min="3869" max="4092" width="9.140625" style="64"/>
    <col min="4093" max="4093" width="8.28515625" style="64" customWidth="1"/>
    <col min="4094" max="4094" width="26.140625" style="64" customWidth="1"/>
    <col min="4095" max="4097" width="11.28515625" style="64" customWidth="1"/>
    <col min="4098" max="4098" width="10.28515625" style="64" customWidth="1"/>
    <col min="4099" max="4099" width="15.5703125" style="64" customWidth="1"/>
    <col min="4100" max="4100" width="16" style="64" customWidth="1"/>
    <col min="4101" max="4103" width="0" style="64" hidden="1" customWidth="1"/>
    <col min="4104" max="4104" width="17.140625" style="64" customWidth="1"/>
    <col min="4105" max="4105" width="16.85546875" style="64" customWidth="1"/>
    <col min="4106" max="4106" width="16.5703125" style="64" customWidth="1"/>
    <col min="4107" max="4107" width="16.28515625" style="64" customWidth="1"/>
    <col min="4108" max="4110" width="0" style="64" hidden="1" customWidth="1"/>
    <col min="4111" max="4111" width="16.42578125" style="64" customWidth="1"/>
    <col min="4112" max="4112" width="17" style="64" customWidth="1"/>
    <col min="4113" max="4115" width="0" style="64" hidden="1" customWidth="1"/>
    <col min="4116" max="4116" width="16.42578125" style="64" customWidth="1"/>
    <col min="4117" max="4117" width="16.140625" style="64" customWidth="1"/>
    <col min="4118" max="4118" width="16" style="64" customWidth="1"/>
    <col min="4119" max="4119" width="16.28515625" style="64" customWidth="1"/>
    <col min="4120" max="4120" width="14.5703125" style="64" customWidth="1"/>
    <col min="4121" max="4121" width="15.85546875" style="64" customWidth="1"/>
    <col min="4122" max="4122" width="15.140625" style="64" customWidth="1"/>
    <col min="4123" max="4123" width="16" style="64" customWidth="1"/>
    <col min="4124" max="4124" width="16.5703125" style="64" customWidth="1"/>
    <col min="4125" max="4348" width="9.140625" style="64"/>
    <col min="4349" max="4349" width="8.28515625" style="64" customWidth="1"/>
    <col min="4350" max="4350" width="26.140625" style="64" customWidth="1"/>
    <col min="4351" max="4353" width="11.28515625" style="64" customWidth="1"/>
    <col min="4354" max="4354" width="10.28515625" style="64" customWidth="1"/>
    <col min="4355" max="4355" width="15.5703125" style="64" customWidth="1"/>
    <col min="4356" max="4356" width="16" style="64" customWidth="1"/>
    <col min="4357" max="4359" width="0" style="64" hidden="1" customWidth="1"/>
    <col min="4360" max="4360" width="17.140625" style="64" customWidth="1"/>
    <col min="4361" max="4361" width="16.85546875" style="64" customWidth="1"/>
    <col min="4362" max="4362" width="16.5703125" style="64" customWidth="1"/>
    <col min="4363" max="4363" width="16.28515625" style="64" customWidth="1"/>
    <col min="4364" max="4366" width="0" style="64" hidden="1" customWidth="1"/>
    <col min="4367" max="4367" width="16.42578125" style="64" customWidth="1"/>
    <col min="4368" max="4368" width="17" style="64" customWidth="1"/>
    <col min="4369" max="4371" width="0" style="64" hidden="1" customWidth="1"/>
    <col min="4372" max="4372" width="16.42578125" style="64" customWidth="1"/>
    <col min="4373" max="4373" width="16.140625" style="64" customWidth="1"/>
    <col min="4374" max="4374" width="16" style="64" customWidth="1"/>
    <col min="4375" max="4375" width="16.28515625" style="64" customWidth="1"/>
    <col min="4376" max="4376" width="14.5703125" style="64" customWidth="1"/>
    <col min="4377" max="4377" width="15.85546875" style="64" customWidth="1"/>
    <col min="4378" max="4378" width="15.140625" style="64" customWidth="1"/>
    <col min="4379" max="4379" width="16" style="64" customWidth="1"/>
    <col min="4380" max="4380" width="16.5703125" style="64" customWidth="1"/>
    <col min="4381" max="4604" width="9.140625" style="64"/>
    <col min="4605" max="4605" width="8.28515625" style="64" customWidth="1"/>
    <col min="4606" max="4606" width="26.140625" style="64" customWidth="1"/>
    <col min="4607" max="4609" width="11.28515625" style="64" customWidth="1"/>
    <col min="4610" max="4610" width="10.28515625" style="64" customWidth="1"/>
    <col min="4611" max="4611" width="15.5703125" style="64" customWidth="1"/>
    <col min="4612" max="4612" width="16" style="64" customWidth="1"/>
    <col min="4613" max="4615" width="0" style="64" hidden="1" customWidth="1"/>
    <col min="4616" max="4616" width="17.140625" style="64" customWidth="1"/>
    <col min="4617" max="4617" width="16.85546875" style="64" customWidth="1"/>
    <col min="4618" max="4618" width="16.5703125" style="64" customWidth="1"/>
    <col min="4619" max="4619" width="16.28515625" style="64" customWidth="1"/>
    <col min="4620" max="4622" width="0" style="64" hidden="1" customWidth="1"/>
    <col min="4623" max="4623" width="16.42578125" style="64" customWidth="1"/>
    <col min="4624" max="4624" width="17" style="64" customWidth="1"/>
    <col min="4625" max="4627" width="0" style="64" hidden="1" customWidth="1"/>
    <col min="4628" max="4628" width="16.42578125" style="64" customWidth="1"/>
    <col min="4629" max="4629" width="16.140625" style="64" customWidth="1"/>
    <col min="4630" max="4630" width="16" style="64" customWidth="1"/>
    <col min="4631" max="4631" width="16.28515625" style="64" customWidth="1"/>
    <col min="4632" max="4632" width="14.5703125" style="64" customWidth="1"/>
    <col min="4633" max="4633" width="15.85546875" style="64" customWidth="1"/>
    <col min="4634" max="4634" width="15.140625" style="64" customWidth="1"/>
    <col min="4635" max="4635" width="16" style="64" customWidth="1"/>
    <col min="4636" max="4636" width="16.5703125" style="64" customWidth="1"/>
    <col min="4637" max="4860" width="9.140625" style="64"/>
    <col min="4861" max="4861" width="8.28515625" style="64" customWidth="1"/>
    <col min="4862" max="4862" width="26.140625" style="64" customWidth="1"/>
    <col min="4863" max="4865" width="11.28515625" style="64" customWidth="1"/>
    <col min="4866" max="4866" width="10.28515625" style="64" customWidth="1"/>
    <col min="4867" max="4867" width="15.5703125" style="64" customWidth="1"/>
    <col min="4868" max="4868" width="16" style="64" customWidth="1"/>
    <col min="4869" max="4871" width="0" style="64" hidden="1" customWidth="1"/>
    <col min="4872" max="4872" width="17.140625" style="64" customWidth="1"/>
    <col min="4873" max="4873" width="16.85546875" style="64" customWidth="1"/>
    <col min="4874" max="4874" width="16.5703125" style="64" customWidth="1"/>
    <col min="4875" max="4875" width="16.28515625" style="64" customWidth="1"/>
    <col min="4876" max="4878" width="0" style="64" hidden="1" customWidth="1"/>
    <col min="4879" max="4879" width="16.42578125" style="64" customWidth="1"/>
    <col min="4880" max="4880" width="17" style="64" customWidth="1"/>
    <col min="4881" max="4883" width="0" style="64" hidden="1" customWidth="1"/>
    <col min="4884" max="4884" width="16.42578125" style="64" customWidth="1"/>
    <col min="4885" max="4885" width="16.140625" style="64" customWidth="1"/>
    <col min="4886" max="4886" width="16" style="64" customWidth="1"/>
    <col min="4887" max="4887" width="16.28515625" style="64" customWidth="1"/>
    <col min="4888" max="4888" width="14.5703125" style="64" customWidth="1"/>
    <col min="4889" max="4889" width="15.85546875" style="64" customWidth="1"/>
    <col min="4890" max="4890" width="15.140625" style="64" customWidth="1"/>
    <col min="4891" max="4891" width="16" style="64" customWidth="1"/>
    <col min="4892" max="4892" width="16.5703125" style="64" customWidth="1"/>
    <col min="4893" max="5116" width="9.140625" style="64"/>
    <col min="5117" max="5117" width="8.28515625" style="64" customWidth="1"/>
    <col min="5118" max="5118" width="26.140625" style="64" customWidth="1"/>
    <col min="5119" max="5121" width="11.28515625" style="64" customWidth="1"/>
    <col min="5122" max="5122" width="10.28515625" style="64" customWidth="1"/>
    <col min="5123" max="5123" width="15.5703125" style="64" customWidth="1"/>
    <col min="5124" max="5124" width="16" style="64" customWidth="1"/>
    <col min="5125" max="5127" width="0" style="64" hidden="1" customWidth="1"/>
    <col min="5128" max="5128" width="17.140625" style="64" customWidth="1"/>
    <col min="5129" max="5129" width="16.85546875" style="64" customWidth="1"/>
    <col min="5130" max="5130" width="16.5703125" style="64" customWidth="1"/>
    <col min="5131" max="5131" width="16.28515625" style="64" customWidth="1"/>
    <col min="5132" max="5134" width="0" style="64" hidden="1" customWidth="1"/>
    <col min="5135" max="5135" width="16.42578125" style="64" customWidth="1"/>
    <col min="5136" max="5136" width="17" style="64" customWidth="1"/>
    <col min="5137" max="5139" width="0" style="64" hidden="1" customWidth="1"/>
    <col min="5140" max="5140" width="16.42578125" style="64" customWidth="1"/>
    <col min="5141" max="5141" width="16.140625" style="64" customWidth="1"/>
    <col min="5142" max="5142" width="16" style="64" customWidth="1"/>
    <col min="5143" max="5143" width="16.28515625" style="64" customWidth="1"/>
    <col min="5144" max="5144" width="14.5703125" style="64" customWidth="1"/>
    <col min="5145" max="5145" width="15.85546875" style="64" customWidth="1"/>
    <col min="5146" max="5146" width="15.140625" style="64" customWidth="1"/>
    <col min="5147" max="5147" width="16" style="64" customWidth="1"/>
    <col min="5148" max="5148" width="16.5703125" style="64" customWidth="1"/>
    <col min="5149" max="5372" width="9.140625" style="64"/>
    <col min="5373" max="5373" width="8.28515625" style="64" customWidth="1"/>
    <col min="5374" max="5374" width="26.140625" style="64" customWidth="1"/>
    <col min="5375" max="5377" width="11.28515625" style="64" customWidth="1"/>
    <col min="5378" max="5378" width="10.28515625" style="64" customWidth="1"/>
    <col min="5379" max="5379" width="15.5703125" style="64" customWidth="1"/>
    <col min="5380" max="5380" width="16" style="64" customWidth="1"/>
    <col min="5381" max="5383" width="0" style="64" hidden="1" customWidth="1"/>
    <col min="5384" max="5384" width="17.140625" style="64" customWidth="1"/>
    <col min="5385" max="5385" width="16.85546875" style="64" customWidth="1"/>
    <col min="5386" max="5386" width="16.5703125" style="64" customWidth="1"/>
    <col min="5387" max="5387" width="16.28515625" style="64" customWidth="1"/>
    <col min="5388" max="5390" width="0" style="64" hidden="1" customWidth="1"/>
    <col min="5391" max="5391" width="16.42578125" style="64" customWidth="1"/>
    <col min="5392" max="5392" width="17" style="64" customWidth="1"/>
    <col min="5393" max="5395" width="0" style="64" hidden="1" customWidth="1"/>
    <col min="5396" max="5396" width="16.42578125" style="64" customWidth="1"/>
    <col min="5397" max="5397" width="16.140625" style="64" customWidth="1"/>
    <col min="5398" max="5398" width="16" style="64" customWidth="1"/>
    <col min="5399" max="5399" width="16.28515625" style="64" customWidth="1"/>
    <col min="5400" max="5400" width="14.5703125" style="64" customWidth="1"/>
    <col min="5401" max="5401" width="15.85546875" style="64" customWidth="1"/>
    <col min="5402" max="5402" width="15.140625" style="64" customWidth="1"/>
    <col min="5403" max="5403" width="16" style="64" customWidth="1"/>
    <col min="5404" max="5404" width="16.5703125" style="64" customWidth="1"/>
    <col min="5405" max="5628" width="9.140625" style="64"/>
    <col min="5629" max="5629" width="8.28515625" style="64" customWidth="1"/>
    <col min="5630" max="5630" width="26.140625" style="64" customWidth="1"/>
    <col min="5631" max="5633" width="11.28515625" style="64" customWidth="1"/>
    <col min="5634" max="5634" width="10.28515625" style="64" customWidth="1"/>
    <col min="5635" max="5635" width="15.5703125" style="64" customWidth="1"/>
    <col min="5636" max="5636" width="16" style="64" customWidth="1"/>
    <col min="5637" max="5639" width="0" style="64" hidden="1" customWidth="1"/>
    <col min="5640" max="5640" width="17.140625" style="64" customWidth="1"/>
    <col min="5641" max="5641" width="16.85546875" style="64" customWidth="1"/>
    <col min="5642" max="5642" width="16.5703125" style="64" customWidth="1"/>
    <col min="5643" max="5643" width="16.28515625" style="64" customWidth="1"/>
    <col min="5644" max="5646" width="0" style="64" hidden="1" customWidth="1"/>
    <col min="5647" max="5647" width="16.42578125" style="64" customWidth="1"/>
    <col min="5648" max="5648" width="17" style="64" customWidth="1"/>
    <col min="5649" max="5651" width="0" style="64" hidden="1" customWidth="1"/>
    <col min="5652" max="5652" width="16.42578125" style="64" customWidth="1"/>
    <col min="5653" max="5653" width="16.140625" style="64" customWidth="1"/>
    <col min="5654" max="5654" width="16" style="64" customWidth="1"/>
    <col min="5655" max="5655" width="16.28515625" style="64" customWidth="1"/>
    <col min="5656" max="5656" width="14.5703125" style="64" customWidth="1"/>
    <col min="5657" max="5657" width="15.85546875" style="64" customWidth="1"/>
    <col min="5658" max="5658" width="15.140625" style="64" customWidth="1"/>
    <col min="5659" max="5659" width="16" style="64" customWidth="1"/>
    <col min="5660" max="5660" width="16.5703125" style="64" customWidth="1"/>
    <col min="5661" max="5884" width="9.140625" style="64"/>
    <col min="5885" max="5885" width="8.28515625" style="64" customWidth="1"/>
    <col min="5886" max="5886" width="26.140625" style="64" customWidth="1"/>
    <col min="5887" max="5889" width="11.28515625" style="64" customWidth="1"/>
    <col min="5890" max="5890" width="10.28515625" style="64" customWidth="1"/>
    <col min="5891" max="5891" width="15.5703125" style="64" customWidth="1"/>
    <col min="5892" max="5892" width="16" style="64" customWidth="1"/>
    <col min="5893" max="5895" width="0" style="64" hidden="1" customWidth="1"/>
    <col min="5896" max="5896" width="17.140625" style="64" customWidth="1"/>
    <col min="5897" max="5897" width="16.85546875" style="64" customWidth="1"/>
    <col min="5898" max="5898" width="16.5703125" style="64" customWidth="1"/>
    <col min="5899" max="5899" width="16.28515625" style="64" customWidth="1"/>
    <col min="5900" max="5902" width="0" style="64" hidden="1" customWidth="1"/>
    <col min="5903" max="5903" width="16.42578125" style="64" customWidth="1"/>
    <col min="5904" max="5904" width="17" style="64" customWidth="1"/>
    <col min="5905" max="5907" width="0" style="64" hidden="1" customWidth="1"/>
    <col min="5908" max="5908" width="16.42578125" style="64" customWidth="1"/>
    <col min="5909" max="5909" width="16.140625" style="64" customWidth="1"/>
    <col min="5910" max="5910" width="16" style="64" customWidth="1"/>
    <col min="5911" max="5911" width="16.28515625" style="64" customWidth="1"/>
    <col min="5912" max="5912" width="14.5703125" style="64" customWidth="1"/>
    <col min="5913" max="5913" width="15.85546875" style="64" customWidth="1"/>
    <col min="5914" max="5914" width="15.140625" style="64" customWidth="1"/>
    <col min="5915" max="5915" width="16" style="64" customWidth="1"/>
    <col min="5916" max="5916" width="16.5703125" style="64" customWidth="1"/>
    <col min="5917" max="6140" width="9.140625" style="64"/>
    <col min="6141" max="6141" width="8.28515625" style="64" customWidth="1"/>
    <col min="6142" max="6142" width="26.140625" style="64" customWidth="1"/>
    <col min="6143" max="6145" width="11.28515625" style="64" customWidth="1"/>
    <col min="6146" max="6146" width="10.28515625" style="64" customWidth="1"/>
    <col min="6147" max="6147" width="15.5703125" style="64" customWidth="1"/>
    <col min="6148" max="6148" width="16" style="64" customWidth="1"/>
    <col min="6149" max="6151" width="0" style="64" hidden="1" customWidth="1"/>
    <col min="6152" max="6152" width="17.140625" style="64" customWidth="1"/>
    <col min="6153" max="6153" width="16.85546875" style="64" customWidth="1"/>
    <col min="6154" max="6154" width="16.5703125" style="64" customWidth="1"/>
    <col min="6155" max="6155" width="16.28515625" style="64" customWidth="1"/>
    <col min="6156" max="6158" width="0" style="64" hidden="1" customWidth="1"/>
    <col min="6159" max="6159" width="16.42578125" style="64" customWidth="1"/>
    <col min="6160" max="6160" width="17" style="64" customWidth="1"/>
    <col min="6161" max="6163" width="0" style="64" hidden="1" customWidth="1"/>
    <col min="6164" max="6164" width="16.42578125" style="64" customWidth="1"/>
    <col min="6165" max="6165" width="16.140625" style="64" customWidth="1"/>
    <col min="6166" max="6166" width="16" style="64" customWidth="1"/>
    <col min="6167" max="6167" width="16.28515625" style="64" customWidth="1"/>
    <col min="6168" max="6168" width="14.5703125" style="64" customWidth="1"/>
    <col min="6169" max="6169" width="15.85546875" style="64" customWidth="1"/>
    <col min="6170" max="6170" width="15.140625" style="64" customWidth="1"/>
    <col min="6171" max="6171" width="16" style="64" customWidth="1"/>
    <col min="6172" max="6172" width="16.5703125" style="64" customWidth="1"/>
    <col min="6173" max="6396" width="9.140625" style="64"/>
    <col min="6397" max="6397" width="8.28515625" style="64" customWidth="1"/>
    <col min="6398" max="6398" width="26.140625" style="64" customWidth="1"/>
    <col min="6399" max="6401" width="11.28515625" style="64" customWidth="1"/>
    <col min="6402" max="6402" width="10.28515625" style="64" customWidth="1"/>
    <col min="6403" max="6403" width="15.5703125" style="64" customWidth="1"/>
    <col min="6404" max="6404" width="16" style="64" customWidth="1"/>
    <col min="6405" max="6407" width="0" style="64" hidden="1" customWidth="1"/>
    <col min="6408" max="6408" width="17.140625" style="64" customWidth="1"/>
    <col min="6409" max="6409" width="16.85546875" style="64" customWidth="1"/>
    <col min="6410" max="6410" width="16.5703125" style="64" customWidth="1"/>
    <col min="6411" max="6411" width="16.28515625" style="64" customWidth="1"/>
    <col min="6412" max="6414" width="0" style="64" hidden="1" customWidth="1"/>
    <col min="6415" max="6415" width="16.42578125" style="64" customWidth="1"/>
    <col min="6416" max="6416" width="17" style="64" customWidth="1"/>
    <col min="6417" max="6419" width="0" style="64" hidden="1" customWidth="1"/>
    <col min="6420" max="6420" width="16.42578125" style="64" customWidth="1"/>
    <col min="6421" max="6421" width="16.140625" style="64" customWidth="1"/>
    <col min="6422" max="6422" width="16" style="64" customWidth="1"/>
    <col min="6423" max="6423" width="16.28515625" style="64" customWidth="1"/>
    <col min="6424" max="6424" width="14.5703125" style="64" customWidth="1"/>
    <col min="6425" max="6425" width="15.85546875" style="64" customWidth="1"/>
    <col min="6426" max="6426" width="15.140625" style="64" customWidth="1"/>
    <col min="6427" max="6427" width="16" style="64" customWidth="1"/>
    <col min="6428" max="6428" width="16.5703125" style="64" customWidth="1"/>
    <col min="6429" max="6652" width="9.140625" style="64"/>
    <col min="6653" max="6653" width="8.28515625" style="64" customWidth="1"/>
    <col min="6654" max="6654" width="26.140625" style="64" customWidth="1"/>
    <col min="6655" max="6657" width="11.28515625" style="64" customWidth="1"/>
    <col min="6658" max="6658" width="10.28515625" style="64" customWidth="1"/>
    <col min="6659" max="6659" width="15.5703125" style="64" customWidth="1"/>
    <col min="6660" max="6660" width="16" style="64" customWidth="1"/>
    <col min="6661" max="6663" width="0" style="64" hidden="1" customWidth="1"/>
    <col min="6664" max="6664" width="17.140625" style="64" customWidth="1"/>
    <col min="6665" max="6665" width="16.85546875" style="64" customWidth="1"/>
    <col min="6666" max="6666" width="16.5703125" style="64" customWidth="1"/>
    <col min="6667" max="6667" width="16.28515625" style="64" customWidth="1"/>
    <col min="6668" max="6670" width="0" style="64" hidden="1" customWidth="1"/>
    <col min="6671" max="6671" width="16.42578125" style="64" customWidth="1"/>
    <col min="6672" max="6672" width="17" style="64" customWidth="1"/>
    <col min="6673" max="6675" width="0" style="64" hidden="1" customWidth="1"/>
    <col min="6676" max="6676" width="16.42578125" style="64" customWidth="1"/>
    <col min="6677" max="6677" width="16.140625" style="64" customWidth="1"/>
    <col min="6678" max="6678" width="16" style="64" customWidth="1"/>
    <col min="6679" max="6679" width="16.28515625" style="64" customWidth="1"/>
    <col min="6680" max="6680" width="14.5703125" style="64" customWidth="1"/>
    <col min="6681" max="6681" width="15.85546875" style="64" customWidth="1"/>
    <col min="6682" max="6682" width="15.140625" style="64" customWidth="1"/>
    <col min="6683" max="6683" width="16" style="64" customWidth="1"/>
    <col min="6684" max="6684" width="16.5703125" style="64" customWidth="1"/>
    <col min="6685" max="6908" width="9.140625" style="64"/>
    <col min="6909" max="6909" width="8.28515625" style="64" customWidth="1"/>
    <col min="6910" max="6910" width="26.140625" style="64" customWidth="1"/>
    <col min="6911" max="6913" width="11.28515625" style="64" customWidth="1"/>
    <col min="6914" max="6914" width="10.28515625" style="64" customWidth="1"/>
    <col min="6915" max="6915" width="15.5703125" style="64" customWidth="1"/>
    <col min="6916" max="6916" width="16" style="64" customWidth="1"/>
    <col min="6917" max="6919" width="0" style="64" hidden="1" customWidth="1"/>
    <col min="6920" max="6920" width="17.140625" style="64" customWidth="1"/>
    <col min="6921" max="6921" width="16.85546875" style="64" customWidth="1"/>
    <col min="6922" max="6922" width="16.5703125" style="64" customWidth="1"/>
    <col min="6923" max="6923" width="16.28515625" style="64" customWidth="1"/>
    <col min="6924" max="6926" width="0" style="64" hidden="1" customWidth="1"/>
    <col min="6927" max="6927" width="16.42578125" style="64" customWidth="1"/>
    <col min="6928" max="6928" width="17" style="64" customWidth="1"/>
    <col min="6929" max="6931" width="0" style="64" hidden="1" customWidth="1"/>
    <col min="6932" max="6932" width="16.42578125" style="64" customWidth="1"/>
    <col min="6933" max="6933" width="16.140625" style="64" customWidth="1"/>
    <col min="6934" max="6934" width="16" style="64" customWidth="1"/>
    <col min="6935" max="6935" width="16.28515625" style="64" customWidth="1"/>
    <col min="6936" max="6936" width="14.5703125" style="64" customWidth="1"/>
    <col min="6937" max="6937" width="15.85546875" style="64" customWidth="1"/>
    <col min="6938" max="6938" width="15.140625" style="64" customWidth="1"/>
    <col min="6939" max="6939" width="16" style="64" customWidth="1"/>
    <col min="6940" max="6940" width="16.5703125" style="64" customWidth="1"/>
    <col min="6941" max="7164" width="9.140625" style="64"/>
    <col min="7165" max="7165" width="8.28515625" style="64" customWidth="1"/>
    <col min="7166" max="7166" width="26.140625" style="64" customWidth="1"/>
    <col min="7167" max="7169" width="11.28515625" style="64" customWidth="1"/>
    <col min="7170" max="7170" width="10.28515625" style="64" customWidth="1"/>
    <col min="7171" max="7171" width="15.5703125" style="64" customWidth="1"/>
    <col min="7172" max="7172" width="16" style="64" customWidth="1"/>
    <col min="7173" max="7175" width="0" style="64" hidden="1" customWidth="1"/>
    <col min="7176" max="7176" width="17.140625" style="64" customWidth="1"/>
    <col min="7177" max="7177" width="16.85546875" style="64" customWidth="1"/>
    <col min="7178" max="7178" width="16.5703125" style="64" customWidth="1"/>
    <col min="7179" max="7179" width="16.28515625" style="64" customWidth="1"/>
    <col min="7180" max="7182" width="0" style="64" hidden="1" customWidth="1"/>
    <col min="7183" max="7183" width="16.42578125" style="64" customWidth="1"/>
    <col min="7184" max="7184" width="17" style="64" customWidth="1"/>
    <col min="7185" max="7187" width="0" style="64" hidden="1" customWidth="1"/>
    <col min="7188" max="7188" width="16.42578125" style="64" customWidth="1"/>
    <col min="7189" max="7189" width="16.140625" style="64" customWidth="1"/>
    <col min="7190" max="7190" width="16" style="64" customWidth="1"/>
    <col min="7191" max="7191" width="16.28515625" style="64" customWidth="1"/>
    <col min="7192" max="7192" width="14.5703125" style="64" customWidth="1"/>
    <col min="7193" max="7193" width="15.85546875" style="64" customWidth="1"/>
    <col min="7194" max="7194" width="15.140625" style="64" customWidth="1"/>
    <col min="7195" max="7195" width="16" style="64" customWidth="1"/>
    <col min="7196" max="7196" width="16.5703125" style="64" customWidth="1"/>
    <col min="7197" max="7420" width="9.140625" style="64"/>
    <col min="7421" max="7421" width="8.28515625" style="64" customWidth="1"/>
    <col min="7422" max="7422" width="26.140625" style="64" customWidth="1"/>
    <col min="7423" max="7425" width="11.28515625" style="64" customWidth="1"/>
    <col min="7426" max="7426" width="10.28515625" style="64" customWidth="1"/>
    <col min="7427" max="7427" width="15.5703125" style="64" customWidth="1"/>
    <col min="7428" max="7428" width="16" style="64" customWidth="1"/>
    <col min="7429" max="7431" width="0" style="64" hidden="1" customWidth="1"/>
    <col min="7432" max="7432" width="17.140625" style="64" customWidth="1"/>
    <col min="7433" max="7433" width="16.85546875" style="64" customWidth="1"/>
    <col min="7434" max="7434" width="16.5703125" style="64" customWidth="1"/>
    <col min="7435" max="7435" width="16.28515625" style="64" customWidth="1"/>
    <col min="7436" max="7438" width="0" style="64" hidden="1" customWidth="1"/>
    <col min="7439" max="7439" width="16.42578125" style="64" customWidth="1"/>
    <col min="7440" max="7440" width="17" style="64" customWidth="1"/>
    <col min="7441" max="7443" width="0" style="64" hidden="1" customWidth="1"/>
    <col min="7444" max="7444" width="16.42578125" style="64" customWidth="1"/>
    <col min="7445" max="7445" width="16.140625" style="64" customWidth="1"/>
    <col min="7446" max="7446" width="16" style="64" customWidth="1"/>
    <col min="7447" max="7447" width="16.28515625" style="64" customWidth="1"/>
    <col min="7448" max="7448" width="14.5703125" style="64" customWidth="1"/>
    <col min="7449" max="7449" width="15.85546875" style="64" customWidth="1"/>
    <col min="7450" max="7450" width="15.140625" style="64" customWidth="1"/>
    <col min="7451" max="7451" width="16" style="64" customWidth="1"/>
    <col min="7452" max="7452" width="16.5703125" style="64" customWidth="1"/>
    <col min="7453" max="7676" width="9.140625" style="64"/>
    <col min="7677" max="7677" width="8.28515625" style="64" customWidth="1"/>
    <col min="7678" max="7678" width="26.140625" style="64" customWidth="1"/>
    <col min="7679" max="7681" width="11.28515625" style="64" customWidth="1"/>
    <col min="7682" max="7682" width="10.28515625" style="64" customWidth="1"/>
    <col min="7683" max="7683" width="15.5703125" style="64" customWidth="1"/>
    <col min="7684" max="7684" width="16" style="64" customWidth="1"/>
    <col min="7685" max="7687" width="0" style="64" hidden="1" customWidth="1"/>
    <col min="7688" max="7688" width="17.140625" style="64" customWidth="1"/>
    <col min="7689" max="7689" width="16.85546875" style="64" customWidth="1"/>
    <col min="7690" max="7690" width="16.5703125" style="64" customWidth="1"/>
    <col min="7691" max="7691" width="16.28515625" style="64" customWidth="1"/>
    <col min="7692" max="7694" width="0" style="64" hidden="1" customWidth="1"/>
    <col min="7695" max="7695" width="16.42578125" style="64" customWidth="1"/>
    <col min="7696" max="7696" width="17" style="64" customWidth="1"/>
    <col min="7697" max="7699" width="0" style="64" hidden="1" customWidth="1"/>
    <col min="7700" max="7700" width="16.42578125" style="64" customWidth="1"/>
    <col min="7701" max="7701" width="16.140625" style="64" customWidth="1"/>
    <col min="7702" max="7702" width="16" style="64" customWidth="1"/>
    <col min="7703" max="7703" width="16.28515625" style="64" customWidth="1"/>
    <col min="7704" max="7704" width="14.5703125" style="64" customWidth="1"/>
    <col min="7705" max="7705" width="15.85546875" style="64" customWidth="1"/>
    <col min="7706" max="7706" width="15.140625" style="64" customWidth="1"/>
    <col min="7707" max="7707" width="16" style="64" customWidth="1"/>
    <col min="7708" max="7708" width="16.5703125" style="64" customWidth="1"/>
    <col min="7709" max="7932" width="9.140625" style="64"/>
    <col min="7933" max="7933" width="8.28515625" style="64" customWidth="1"/>
    <col min="7934" max="7934" width="26.140625" style="64" customWidth="1"/>
    <col min="7935" max="7937" width="11.28515625" style="64" customWidth="1"/>
    <col min="7938" max="7938" width="10.28515625" style="64" customWidth="1"/>
    <col min="7939" max="7939" width="15.5703125" style="64" customWidth="1"/>
    <col min="7940" max="7940" width="16" style="64" customWidth="1"/>
    <col min="7941" max="7943" width="0" style="64" hidden="1" customWidth="1"/>
    <col min="7944" max="7944" width="17.140625" style="64" customWidth="1"/>
    <col min="7945" max="7945" width="16.85546875" style="64" customWidth="1"/>
    <col min="7946" max="7946" width="16.5703125" style="64" customWidth="1"/>
    <col min="7947" max="7947" width="16.28515625" style="64" customWidth="1"/>
    <col min="7948" max="7950" width="0" style="64" hidden="1" customWidth="1"/>
    <col min="7951" max="7951" width="16.42578125" style="64" customWidth="1"/>
    <col min="7952" max="7952" width="17" style="64" customWidth="1"/>
    <col min="7953" max="7955" width="0" style="64" hidden="1" customWidth="1"/>
    <col min="7956" max="7956" width="16.42578125" style="64" customWidth="1"/>
    <col min="7957" max="7957" width="16.140625" style="64" customWidth="1"/>
    <col min="7958" max="7958" width="16" style="64" customWidth="1"/>
    <col min="7959" max="7959" width="16.28515625" style="64" customWidth="1"/>
    <col min="7960" max="7960" width="14.5703125" style="64" customWidth="1"/>
    <col min="7961" max="7961" width="15.85546875" style="64" customWidth="1"/>
    <col min="7962" max="7962" width="15.140625" style="64" customWidth="1"/>
    <col min="7963" max="7963" width="16" style="64" customWidth="1"/>
    <col min="7964" max="7964" width="16.5703125" style="64" customWidth="1"/>
    <col min="7965" max="8188" width="9.140625" style="64"/>
    <col min="8189" max="8189" width="8.28515625" style="64" customWidth="1"/>
    <col min="8190" max="8190" width="26.140625" style="64" customWidth="1"/>
    <col min="8191" max="8193" width="11.28515625" style="64" customWidth="1"/>
    <col min="8194" max="8194" width="10.28515625" style="64" customWidth="1"/>
    <col min="8195" max="8195" width="15.5703125" style="64" customWidth="1"/>
    <col min="8196" max="8196" width="16" style="64" customWidth="1"/>
    <col min="8197" max="8199" width="0" style="64" hidden="1" customWidth="1"/>
    <col min="8200" max="8200" width="17.140625" style="64" customWidth="1"/>
    <col min="8201" max="8201" width="16.85546875" style="64" customWidth="1"/>
    <col min="8202" max="8202" width="16.5703125" style="64" customWidth="1"/>
    <col min="8203" max="8203" width="16.28515625" style="64" customWidth="1"/>
    <col min="8204" max="8206" width="0" style="64" hidden="1" customWidth="1"/>
    <col min="8207" max="8207" width="16.42578125" style="64" customWidth="1"/>
    <col min="8208" max="8208" width="17" style="64" customWidth="1"/>
    <col min="8209" max="8211" width="0" style="64" hidden="1" customWidth="1"/>
    <col min="8212" max="8212" width="16.42578125" style="64" customWidth="1"/>
    <col min="8213" max="8213" width="16.140625" style="64" customWidth="1"/>
    <col min="8214" max="8214" width="16" style="64" customWidth="1"/>
    <col min="8215" max="8215" width="16.28515625" style="64" customWidth="1"/>
    <col min="8216" max="8216" width="14.5703125" style="64" customWidth="1"/>
    <col min="8217" max="8217" width="15.85546875" style="64" customWidth="1"/>
    <col min="8218" max="8218" width="15.140625" style="64" customWidth="1"/>
    <col min="8219" max="8219" width="16" style="64" customWidth="1"/>
    <col min="8220" max="8220" width="16.5703125" style="64" customWidth="1"/>
    <col min="8221" max="8444" width="9.140625" style="64"/>
    <col min="8445" max="8445" width="8.28515625" style="64" customWidth="1"/>
    <col min="8446" max="8446" width="26.140625" style="64" customWidth="1"/>
    <col min="8447" max="8449" width="11.28515625" style="64" customWidth="1"/>
    <col min="8450" max="8450" width="10.28515625" style="64" customWidth="1"/>
    <col min="8451" max="8451" width="15.5703125" style="64" customWidth="1"/>
    <col min="8452" max="8452" width="16" style="64" customWidth="1"/>
    <col min="8453" max="8455" width="0" style="64" hidden="1" customWidth="1"/>
    <col min="8456" max="8456" width="17.140625" style="64" customWidth="1"/>
    <col min="8457" max="8457" width="16.85546875" style="64" customWidth="1"/>
    <col min="8458" max="8458" width="16.5703125" style="64" customWidth="1"/>
    <col min="8459" max="8459" width="16.28515625" style="64" customWidth="1"/>
    <col min="8460" max="8462" width="0" style="64" hidden="1" customWidth="1"/>
    <col min="8463" max="8463" width="16.42578125" style="64" customWidth="1"/>
    <col min="8464" max="8464" width="17" style="64" customWidth="1"/>
    <col min="8465" max="8467" width="0" style="64" hidden="1" customWidth="1"/>
    <col min="8468" max="8468" width="16.42578125" style="64" customWidth="1"/>
    <col min="8469" max="8469" width="16.140625" style="64" customWidth="1"/>
    <col min="8470" max="8470" width="16" style="64" customWidth="1"/>
    <col min="8471" max="8471" width="16.28515625" style="64" customWidth="1"/>
    <col min="8472" max="8472" width="14.5703125" style="64" customWidth="1"/>
    <col min="8473" max="8473" width="15.85546875" style="64" customWidth="1"/>
    <col min="8474" max="8474" width="15.140625" style="64" customWidth="1"/>
    <col min="8475" max="8475" width="16" style="64" customWidth="1"/>
    <col min="8476" max="8476" width="16.5703125" style="64" customWidth="1"/>
    <col min="8477" max="8700" width="9.140625" style="64"/>
    <col min="8701" max="8701" width="8.28515625" style="64" customWidth="1"/>
    <col min="8702" max="8702" width="26.140625" style="64" customWidth="1"/>
    <col min="8703" max="8705" width="11.28515625" style="64" customWidth="1"/>
    <col min="8706" max="8706" width="10.28515625" style="64" customWidth="1"/>
    <col min="8707" max="8707" width="15.5703125" style="64" customWidth="1"/>
    <col min="8708" max="8708" width="16" style="64" customWidth="1"/>
    <col min="8709" max="8711" width="0" style="64" hidden="1" customWidth="1"/>
    <col min="8712" max="8712" width="17.140625" style="64" customWidth="1"/>
    <col min="8713" max="8713" width="16.85546875" style="64" customWidth="1"/>
    <col min="8714" max="8714" width="16.5703125" style="64" customWidth="1"/>
    <col min="8715" max="8715" width="16.28515625" style="64" customWidth="1"/>
    <col min="8716" max="8718" width="0" style="64" hidden="1" customWidth="1"/>
    <col min="8719" max="8719" width="16.42578125" style="64" customWidth="1"/>
    <col min="8720" max="8720" width="17" style="64" customWidth="1"/>
    <col min="8721" max="8723" width="0" style="64" hidden="1" customWidth="1"/>
    <col min="8724" max="8724" width="16.42578125" style="64" customWidth="1"/>
    <col min="8725" max="8725" width="16.140625" style="64" customWidth="1"/>
    <col min="8726" max="8726" width="16" style="64" customWidth="1"/>
    <col min="8727" max="8727" width="16.28515625" style="64" customWidth="1"/>
    <col min="8728" max="8728" width="14.5703125" style="64" customWidth="1"/>
    <col min="8729" max="8729" width="15.85546875" style="64" customWidth="1"/>
    <col min="8730" max="8730" width="15.140625" style="64" customWidth="1"/>
    <col min="8731" max="8731" width="16" style="64" customWidth="1"/>
    <col min="8732" max="8732" width="16.5703125" style="64" customWidth="1"/>
    <col min="8733" max="8956" width="9.140625" style="64"/>
    <col min="8957" max="8957" width="8.28515625" style="64" customWidth="1"/>
    <col min="8958" max="8958" width="26.140625" style="64" customWidth="1"/>
    <col min="8959" max="8961" width="11.28515625" style="64" customWidth="1"/>
    <col min="8962" max="8962" width="10.28515625" style="64" customWidth="1"/>
    <col min="8963" max="8963" width="15.5703125" style="64" customWidth="1"/>
    <col min="8964" max="8964" width="16" style="64" customWidth="1"/>
    <col min="8965" max="8967" width="0" style="64" hidden="1" customWidth="1"/>
    <col min="8968" max="8968" width="17.140625" style="64" customWidth="1"/>
    <col min="8969" max="8969" width="16.85546875" style="64" customWidth="1"/>
    <col min="8970" max="8970" width="16.5703125" style="64" customWidth="1"/>
    <col min="8971" max="8971" width="16.28515625" style="64" customWidth="1"/>
    <col min="8972" max="8974" width="0" style="64" hidden="1" customWidth="1"/>
    <col min="8975" max="8975" width="16.42578125" style="64" customWidth="1"/>
    <col min="8976" max="8976" width="17" style="64" customWidth="1"/>
    <col min="8977" max="8979" width="0" style="64" hidden="1" customWidth="1"/>
    <col min="8980" max="8980" width="16.42578125" style="64" customWidth="1"/>
    <col min="8981" max="8981" width="16.140625" style="64" customWidth="1"/>
    <col min="8982" max="8982" width="16" style="64" customWidth="1"/>
    <col min="8983" max="8983" width="16.28515625" style="64" customWidth="1"/>
    <col min="8984" max="8984" width="14.5703125" style="64" customWidth="1"/>
    <col min="8985" max="8985" width="15.85546875" style="64" customWidth="1"/>
    <col min="8986" max="8986" width="15.140625" style="64" customWidth="1"/>
    <col min="8987" max="8987" width="16" style="64" customWidth="1"/>
    <col min="8988" max="8988" width="16.5703125" style="64" customWidth="1"/>
    <col min="8989" max="9212" width="9.140625" style="64"/>
    <col min="9213" max="9213" width="8.28515625" style="64" customWidth="1"/>
    <col min="9214" max="9214" width="26.140625" style="64" customWidth="1"/>
    <col min="9215" max="9217" width="11.28515625" style="64" customWidth="1"/>
    <col min="9218" max="9218" width="10.28515625" style="64" customWidth="1"/>
    <col min="9219" max="9219" width="15.5703125" style="64" customWidth="1"/>
    <col min="9220" max="9220" width="16" style="64" customWidth="1"/>
    <col min="9221" max="9223" width="0" style="64" hidden="1" customWidth="1"/>
    <col min="9224" max="9224" width="17.140625" style="64" customWidth="1"/>
    <col min="9225" max="9225" width="16.85546875" style="64" customWidth="1"/>
    <col min="9226" max="9226" width="16.5703125" style="64" customWidth="1"/>
    <col min="9227" max="9227" width="16.28515625" style="64" customWidth="1"/>
    <col min="9228" max="9230" width="0" style="64" hidden="1" customWidth="1"/>
    <col min="9231" max="9231" width="16.42578125" style="64" customWidth="1"/>
    <col min="9232" max="9232" width="17" style="64" customWidth="1"/>
    <col min="9233" max="9235" width="0" style="64" hidden="1" customWidth="1"/>
    <col min="9236" max="9236" width="16.42578125" style="64" customWidth="1"/>
    <col min="9237" max="9237" width="16.140625" style="64" customWidth="1"/>
    <col min="9238" max="9238" width="16" style="64" customWidth="1"/>
    <col min="9239" max="9239" width="16.28515625" style="64" customWidth="1"/>
    <col min="9240" max="9240" width="14.5703125" style="64" customWidth="1"/>
    <col min="9241" max="9241" width="15.85546875" style="64" customWidth="1"/>
    <col min="9242" max="9242" width="15.140625" style="64" customWidth="1"/>
    <col min="9243" max="9243" width="16" style="64" customWidth="1"/>
    <col min="9244" max="9244" width="16.5703125" style="64" customWidth="1"/>
    <col min="9245" max="9468" width="9.140625" style="64"/>
    <col min="9469" max="9469" width="8.28515625" style="64" customWidth="1"/>
    <col min="9470" max="9470" width="26.140625" style="64" customWidth="1"/>
    <col min="9471" max="9473" width="11.28515625" style="64" customWidth="1"/>
    <col min="9474" max="9474" width="10.28515625" style="64" customWidth="1"/>
    <col min="9475" max="9475" width="15.5703125" style="64" customWidth="1"/>
    <col min="9476" max="9476" width="16" style="64" customWidth="1"/>
    <col min="9477" max="9479" width="0" style="64" hidden="1" customWidth="1"/>
    <col min="9480" max="9480" width="17.140625" style="64" customWidth="1"/>
    <col min="9481" max="9481" width="16.85546875" style="64" customWidth="1"/>
    <col min="9482" max="9482" width="16.5703125" style="64" customWidth="1"/>
    <col min="9483" max="9483" width="16.28515625" style="64" customWidth="1"/>
    <col min="9484" max="9486" width="0" style="64" hidden="1" customWidth="1"/>
    <col min="9487" max="9487" width="16.42578125" style="64" customWidth="1"/>
    <col min="9488" max="9488" width="17" style="64" customWidth="1"/>
    <col min="9489" max="9491" width="0" style="64" hidden="1" customWidth="1"/>
    <col min="9492" max="9492" width="16.42578125" style="64" customWidth="1"/>
    <col min="9493" max="9493" width="16.140625" style="64" customWidth="1"/>
    <col min="9494" max="9494" width="16" style="64" customWidth="1"/>
    <col min="9495" max="9495" width="16.28515625" style="64" customWidth="1"/>
    <col min="9496" max="9496" width="14.5703125" style="64" customWidth="1"/>
    <col min="9497" max="9497" width="15.85546875" style="64" customWidth="1"/>
    <col min="9498" max="9498" width="15.140625" style="64" customWidth="1"/>
    <col min="9499" max="9499" width="16" style="64" customWidth="1"/>
    <col min="9500" max="9500" width="16.5703125" style="64" customWidth="1"/>
    <col min="9501" max="9724" width="9.140625" style="64"/>
    <col min="9725" max="9725" width="8.28515625" style="64" customWidth="1"/>
    <col min="9726" max="9726" width="26.140625" style="64" customWidth="1"/>
    <col min="9727" max="9729" width="11.28515625" style="64" customWidth="1"/>
    <col min="9730" max="9730" width="10.28515625" style="64" customWidth="1"/>
    <col min="9731" max="9731" width="15.5703125" style="64" customWidth="1"/>
    <col min="9732" max="9732" width="16" style="64" customWidth="1"/>
    <col min="9733" max="9735" width="0" style="64" hidden="1" customWidth="1"/>
    <col min="9736" max="9736" width="17.140625" style="64" customWidth="1"/>
    <col min="9737" max="9737" width="16.85546875" style="64" customWidth="1"/>
    <col min="9738" max="9738" width="16.5703125" style="64" customWidth="1"/>
    <col min="9739" max="9739" width="16.28515625" style="64" customWidth="1"/>
    <col min="9740" max="9742" width="0" style="64" hidden="1" customWidth="1"/>
    <col min="9743" max="9743" width="16.42578125" style="64" customWidth="1"/>
    <col min="9744" max="9744" width="17" style="64" customWidth="1"/>
    <col min="9745" max="9747" width="0" style="64" hidden="1" customWidth="1"/>
    <col min="9748" max="9748" width="16.42578125" style="64" customWidth="1"/>
    <col min="9749" max="9749" width="16.140625" style="64" customWidth="1"/>
    <col min="9750" max="9750" width="16" style="64" customWidth="1"/>
    <col min="9751" max="9751" width="16.28515625" style="64" customWidth="1"/>
    <col min="9752" max="9752" width="14.5703125" style="64" customWidth="1"/>
    <col min="9753" max="9753" width="15.85546875" style="64" customWidth="1"/>
    <col min="9754" max="9754" width="15.140625" style="64" customWidth="1"/>
    <col min="9755" max="9755" width="16" style="64" customWidth="1"/>
    <col min="9756" max="9756" width="16.5703125" style="64" customWidth="1"/>
    <col min="9757" max="9980" width="9.140625" style="64"/>
    <col min="9981" max="9981" width="8.28515625" style="64" customWidth="1"/>
    <col min="9982" max="9982" width="26.140625" style="64" customWidth="1"/>
    <col min="9983" max="9985" width="11.28515625" style="64" customWidth="1"/>
    <col min="9986" max="9986" width="10.28515625" style="64" customWidth="1"/>
    <col min="9987" max="9987" width="15.5703125" style="64" customWidth="1"/>
    <col min="9988" max="9988" width="16" style="64" customWidth="1"/>
    <col min="9989" max="9991" width="0" style="64" hidden="1" customWidth="1"/>
    <col min="9992" max="9992" width="17.140625" style="64" customWidth="1"/>
    <col min="9993" max="9993" width="16.85546875" style="64" customWidth="1"/>
    <col min="9994" max="9994" width="16.5703125" style="64" customWidth="1"/>
    <col min="9995" max="9995" width="16.28515625" style="64" customWidth="1"/>
    <col min="9996" max="9998" width="0" style="64" hidden="1" customWidth="1"/>
    <col min="9999" max="9999" width="16.42578125" style="64" customWidth="1"/>
    <col min="10000" max="10000" width="17" style="64" customWidth="1"/>
    <col min="10001" max="10003" width="0" style="64" hidden="1" customWidth="1"/>
    <col min="10004" max="10004" width="16.42578125" style="64" customWidth="1"/>
    <col min="10005" max="10005" width="16.140625" style="64" customWidth="1"/>
    <col min="10006" max="10006" width="16" style="64" customWidth="1"/>
    <col min="10007" max="10007" width="16.28515625" style="64" customWidth="1"/>
    <col min="10008" max="10008" width="14.5703125" style="64" customWidth="1"/>
    <col min="10009" max="10009" width="15.85546875" style="64" customWidth="1"/>
    <col min="10010" max="10010" width="15.140625" style="64" customWidth="1"/>
    <col min="10011" max="10011" width="16" style="64" customWidth="1"/>
    <col min="10012" max="10012" width="16.5703125" style="64" customWidth="1"/>
    <col min="10013" max="10236" width="9.140625" style="64"/>
    <col min="10237" max="10237" width="8.28515625" style="64" customWidth="1"/>
    <col min="10238" max="10238" width="26.140625" style="64" customWidth="1"/>
    <col min="10239" max="10241" width="11.28515625" style="64" customWidth="1"/>
    <col min="10242" max="10242" width="10.28515625" style="64" customWidth="1"/>
    <col min="10243" max="10243" width="15.5703125" style="64" customWidth="1"/>
    <col min="10244" max="10244" width="16" style="64" customWidth="1"/>
    <col min="10245" max="10247" width="0" style="64" hidden="1" customWidth="1"/>
    <col min="10248" max="10248" width="17.140625" style="64" customWidth="1"/>
    <col min="10249" max="10249" width="16.85546875" style="64" customWidth="1"/>
    <col min="10250" max="10250" width="16.5703125" style="64" customWidth="1"/>
    <col min="10251" max="10251" width="16.28515625" style="64" customWidth="1"/>
    <col min="10252" max="10254" width="0" style="64" hidden="1" customWidth="1"/>
    <col min="10255" max="10255" width="16.42578125" style="64" customWidth="1"/>
    <col min="10256" max="10256" width="17" style="64" customWidth="1"/>
    <col min="10257" max="10259" width="0" style="64" hidden="1" customWidth="1"/>
    <col min="10260" max="10260" width="16.42578125" style="64" customWidth="1"/>
    <col min="10261" max="10261" width="16.140625" style="64" customWidth="1"/>
    <col min="10262" max="10262" width="16" style="64" customWidth="1"/>
    <col min="10263" max="10263" width="16.28515625" style="64" customWidth="1"/>
    <col min="10264" max="10264" width="14.5703125" style="64" customWidth="1"/>
    <col min="10265" max="10265" width="15.85546875" style="64" customWidth="1"/>
    <col min="10266" max="10266" width="15.140625" style="64" customWidth="1"/>
    <col min="10267" max="10267" width="16" style="64" customWidth="1"/>
    <col min="10268" max="10268" width="16.5703125" style="64" customWidth="1"/>
    <col min="10269" max="10492" width="9.140625" style="64"/>
    <col min="10493" max="10493" width="8.28515625" style="64" customWidth="1"/>
    <col min="10494" max="10494" width="26.140625" style="64" customWidth="1"/>
    <col min="10495" max="10497" width="11.28515625" style="64" customWidth="1"/>
    <col min="10498" max="10498" width="10.28515625" style="64" customWidth="1"/>
    <col min="10499" max="10499" width="15.5703125" style="64" customWidth="1"/>
    <col min="10500" max="10500" width="16" style="64" customWidth="1"/>
    <col min="10501" max="10503" width="0" style="64" hidden="1" customWidth="1"/>
    <col min="10504" max="10504" width="17.140625" style="64" customWidth="1"/>
    <col min="10505" max="10505" width="16.85546875" style="64" customWidth="1"/>
    <col min="10506" max="10506" width="16.5703125" style="64" customWidth="1"/>
    <col min="10507" max="10507" width="16.28515625" style="64" customWidth="1"/>
    <col min="10508" max="10510" width="0" style="64" hidden="1" customWidth="1"/>
    <col min="10511" max="10511" width="16.42578125" style="64" customWidth="1"/>
    <col min="10512" max="10512" width="17" style="64" customWidth="1"/>
    <col min="10513" max="10515" width="0" style="64" hidden="1" customWidth="1"/>
    <col min="10516" max="10516" width="16.42578125" style="64" customWidth="1"/>
    <col min="10517" max="10517" width="16.140625" style="64" customWidth="1"/>
    <col min="10518" max="10518" width="16" style="64" customWidth="1"/>
    <col min="10519" max="10519" width="16.28515625" style="64" customWidth="1"/>
    <col min="10520" max="10520" width="14.5703125" style="64" customWidth="1"/>
    <col min="10521" max="10521" width="15.85546875" style="64" customWidth="1"/>
    <col min="10522" max="10522" width="15.140625" style="64" customWidth="1"/>
    <col min="10523" max="10523" width="16" style="64" customWidth="1"/>
    <col min="10524" max="10524" width="16.5703125" style="64" customWidth="1"/>
    <col min="10525" max="10748" width="9.140625" style="64"/>
    <col min="10749" max="10749" width="8.28515625" style="64" customWidth="1"/>
    <col min="10750" max="10750" width="26.140625" style="64" customWidth="1"/>
    <col min="10751" max="10753" width="11.28515625" style="64" customWidth="1"/>
    <col min="10754" max="10754" width="10.28515625" style="64" customWidth="1"/>
    <col min="10755" max="10755" width="15.5703125" style="64" customWidth="1"/>
    <col min="10756" max="10756" width="16" style="64" customWidth="1"/>
    <col min="10757" max="10759" width="0" style="64" hidden="1" customWidth="1"/>
    <col min="10760" max="10760" width="17.140625" style="64" customWidth="1"/>
    <col min="10761" max="10761" width="16.85546875" style="64" customWidth="1"/>
    <col min="10762" max="10762" width="16.5703125" style="64" customWidth="1"/>
    <col min="10763" max="10763" width="16.28515625" style="64" customWidth="1"/>
    <col min="10764" max="10766" width="0" style="64" hidden="1" customWidth="1"/>
    <col min="10767" max="10767" width="16.42578125" style="64" customWidth="1"/>
    <col min="10768" max="10768" width="17" style="64" customWidth="1"/>
    <col min="10769" max="10771" width="0" style="64" hidden="1" customWidth="1"/>
    <col min="10772" max="10772" width="16.42578125" style="64" customWidth="1"/>
    <col min="10773" max="10773" width="16.140625" style="64" customWidth="1"/>
    <col min="10774" max="10774" width="16" style="64" customWidth="1"/>
    <col min="10775" max="10775" width="16.28515625" style="64" customWidth="1"/>
    <col min="10776" max="10776" width="14.5703125" style="64" customWidth="1"/>
    <col min="10777" max="10777" width="15.85546875" style="64" customWidth="1"/>
    <col min="10778" max="10778" width="15.140625" style="64" customWidth="1"/>
    <col min="10779" max="10779" width="16" style="64" customWidth="1"/>
    <col min="10780" max="10780" width="16.5703125" style="64" customWidth="1"/>
    <col min="10781" max="11004" width="9.140625" style="64"/>
    <col min="11005" max="11005" width="8.28515625" style="64" customWidth="1"/>
    <col min="11006" max="11006" width="26.140625" style="64" customWidth="1"/>
    <col min="11007" max="11009" width="11.28515625" style="64" customWidth="1"/>
    <col min="11010" max="11010" width="10.28515625" style="64" customWidth="1"/>
    <col min="11011" max="11011" width="15.5703125" style="64" customWidth="1"/>
    <col min="11012" max="11012" width="16" style="64" customWidth="1"/>
    <col min="11013" max="11015" width="0" style="64" hidden="1" customWidth="1"/>
    <col min="11016" max="11016" width="17.140625" style="64" customWidth="1"/>
    <col min="11017" max="11017" width="16.85546875" style="64" customWidth="1"/>
    <col min="11018" max="11018" width="16.5703125" style="64" customWidth="1"/>
    <col min="11019" max="11019" width="16.28515625" style="64" customWidth="1"/>
    <col min="11020" max="11022" width="0" style="64" hidden="1" customWidth="1"/>
    <col min="11023" max="11023" width="16.42578125" style="64" customWidth="1"/>
    <col min="11024" max="11024" width="17" style="64" customWidth="1"/>
    <col min="11025" max="11027" width="0" style="64" hidden="1" customWidth="1"/>
    <col min="11028" max="11028" width="16.42578125" style="64" customWidth="1"/>
    <col min="11029" max="11029" width="16.140625" style="64" customWidth="1"/>
    <col min="11030" max="11030" width="16" style="64" customWidth="1"/>
    <col min="11031" max="11031" width="16.28515625" style="64" customWidth="1"/>
    <col min="11032" max="11032" width="14.5703125" style="64" customWidth="1"/>
    <col min="11033" max="11033" width="15.85546875" style="64" customWidth="1"/>
    <col min="11034" max="11034" width="15.140625" style="64" customWidth="1"/>
    <col min="11035" max="11035" width="16" style="64" customWidth="1"/>
    <col min="11036" max="11036" width="16.5703125" style="64" customWidth="1"/>
    <col min="11037" max="11260" width="9.140625" style="64"/>
    <col min="11261" max="11261" width="8.28515625" style="64" customWidth="1"/>
    <col min="11262" max="11262" width="26.140625" style="64" customWidth="1"/>
    <col min="11263" max="11265" width="11.28515625" style="64" customWidth="1"/>
    <col min="11266" max="11266" width="10.28515625" style="64" customWidth="1"/>
    <col min="11267" max="11267" width="15.5703125" style="64" customWidth="1"/>
    <col min="11268" max="11268" width="16" style="64" customWidth="1"/>
    <col min="11269" max="11271" width="0" style="64" hidden="1" customWidth="1"/>
    <col min="11272" max="11272" width="17.140625" style="64" customWidth="1"/>
    <col min="11273" max="11273" width="16.85546875" style="64" customWidth="1"/>
    <col min="11274" max="11274" width="16.5703125" style="64" customWidth="1"/>
    <col min="11275" max="11275" width="16.28515625" style="64" customWidth="1"/>
    <col min="11276" max="11278" width="0" style="64" hidden="1" customWidth="1"/>
    <col min="11279" max="11279" width="16.42578125" style="64" customWidth="1"/>
    <col min="11280" max="11280" width="17" style="64" customWidth="1"/>
    <col min="11281" max="11283" width="0" style="64" hidden="1" customWidth="1"/>
    <col min="11284" max="11284" width="16.42578125" style="64" customWidth="1"/>
    <col min="11285" max="11285" width="16.140625" style="64" customWidth="1"/>
    <col min="11286" max="11286" width="16" style="64" customWidth="1"/>
    <col min="11287" max="11287" width="16.28515625" style="64" customWidth="1"/>
    <col min="11288" max="11288" width="14.5703125" style="64" customWidth="1"/>
    <col min="11289" max="11289" width="15.85546875" style="64" customWidth="1"/>
    <col min="11290" max="11290" width="15.140625" style="64" customWidth="1"/>
    <col min="11291" max="11291" width="16" style="64" customWidth="1"/>
    <col min="11292" max="11292" width="16.5703125" style="64" customWidth="1"/>
    <col min="11293" max="11516" width="9.140625" style="64"/>
    <col min="11517" max="11517" width="8.28515625" style="64" customWidth="1"/>
    <col min="11518" max="11518" width="26.140625" style="64" customWidth="1"/>
    <col min="11519" max="11521" width="11.28515625" style="64" customWidth="1"/>
    <col min="11522" max="11522" width="10.28515625" style="64" customWidth="1"/>
    <col min="11523" max="11523" width="15.5703125" style="64" customWidth="1"/>
    <col min="11524" max="11524" width="16" style="64" customWidth="1"/>
    <col min="11525" max="11527" width="0" style="64" hidden="1" customWidth="1"/>
    <col min="11528" max="11528" width="17.140625" style="64" customWidth="1"/>
    <col min="11529" max="11529" width="16.85546875" style="64" customWidth="1"/>
    <col min="11530" max="11530" width="16.5703125" style="64" customWidth="1"/>
    <col min="11531" max="11531" width="16.28515625" style="64" customWidth="1"/>
    <col min="11532" max="11534" width="0" style="64" hidden="1" customWidth="1"/>
    <col min="11535" max="11535" width="16.42578125" style="64" customWidth="1"/>
    <col min="11536" max="11536" width="17" style="64" customWidth="1"/>
    <col min="11537" max="11539" width="0" style="64" hidden="1" customWidth="1"/>
    <col min="11540" max="11540" width="16.42578125" style="64" customWidth="1"/>
    <col min="11541" max="11541" width="16.140625" style="64" customWidth="1"/>
    <col min="11542" max="11542" width="16" style="64" customWidth="1"/>
    <col min="11543" max="11543" width="16.28515625" style="64" customWidth="1"/>
    <col min="11544" max="11544" width="14.5703125" style="64" customWidth="1"/>
    <col min="11545" max="11545" width="15.85546875" style="64" customWidth="1"/>
    <col min="11546" max="11546" width="15.140625" style="64" customWidth="1"/>
    <col min="11547" max="11547" width="16" style="64" customWidth="1"/>
    <col min="11548" max="11548" width="16.5703125" style="64" customWidth="1"/>
    <col min="11549" max="11772" width="9.140625" style="64"/>
    <col min="11773" max="11773" width="8.28515625" style="64" customWidth="1"/>
    <col min="11774" max="11774" width="26.140625" style="64" customWidth="1"/>
    <col min="11775" max="11777" width="11.28515625" style="64" customWidth="1"/>
    <col min="11778" max="11778" width="10.28515625" style="64" customWidth="1"/>
    <col min="11779" max="11779" width="15.5703125" style="64" customWidth="1"/>
    <col min="11780" max="11780" width="16" style="64" customWidth="1"/>
    <col min="11781" max="11783" width="0" style="64" hidden="1" customWidth="1"/>
    <col min="11784" max="11784" width="17.140625" style="64" customWidth="1"/>
    <col min="11785" max="11785" width="16.85546875" style="64" customWidth="1"/>
    <col min="11786" max="11786" width="16.5703125" style="64" customWidth="1"/>
    <col min="11787" max="11787" width="16.28515625" style="64" customWidth="1"/>
    <col min="11788" max="11790" width="0" style="64" hidden="1" customWidth="1"/>
    <col min="11791" max="11791" width="16.42578125" style="64" customWidth="1"/>
    <col min="11792" max="11792" width="17" style="64" customWidth="1"/>
    <col min="11793" max="11795" width="0" style="64" hidden="1" customWidth="1"/>
    <col min="11796" max="11796" width="16.42578125" style="64" customWidth="1"/>
    <col min="11797" max="11797" width="16.140625" style="64" customWidth="1"/>
    <col min="11798" max="11798" width="16" style="64" customWidth="1"/>
    <col min="11799" max="11799" width="16.28515625" style="64" customWidth="1"/>
    <col min="11800" max="11800" width="14.5703125" style="64" customWidth="1"/>
    <col min="11801" max="11801" width="15.85546875" style="64" customWidth="1"/>
    <col min="11802" max="11802" width="15.140625" style="64" customWidth="1"/>
    <col min="11803" max="11803" width="16" style="64" customWidth="1"/>
    <col min="11804" max="11804" width="16.5703125" style="64" customWidth="1"/>
    <col min="11805" max="12028" width="9.140625" style="64"/>
    <col min="12029" max="12029" width="8.28515625" style="64" customWidth="1"/>
    <col min="12030" max="12030" width="26.140625" style="64" customWidth="1"/>
    <col min="12031" max="12033" width="11.28515625" style="64" customWidth="1"/>
    <col min="12034" max="12034" width="10.28515625" style="64" customWidth="1"/>
    <col min="12035" max="12035" width="15.5703125" style="64" customWidth="1"/>
    <col min="12036" max="12036" width="16" style="64" customWidth="1"/>
    <col min="12037" max="12039" width="0" style="64" hidden="1" customWidth="1"/>
    <col min="12040" max="12040" width="17.140625" style="64" customWidth="1"/>
    <col min="12041" max="12041" width="16.85546875" style="64" customWidth="1"/>
    <col min="12042" max="12042" width="16.5703125" style="64" customWidth="1"/>
    <col min="12043" max="12043" width="16.28515625" style="64" customWidth="1"/>
    <col min="12044" max="12046" width="0" style="64" hidden="1" customWidth="1"/>
    <col min="12047" max="12047" width="16.42578125" style="64" customWidth="1"/>
    <col min="12048" max="12048" width="17" style="64" customWidth="1"/>
    <col min="12049" max="12051" width="0" style="64" hidden="1" customWidth="1"/>
    <col min="12052" max="12052" width="16.42578125" style="64" customWidth="1"/>
    <col min="12053" max="12053" width="16.140625" style="64" customWidth="1"/>
    <col min="12054" max="12054" width="16" style="64" customWidth="1"/>
    <col min="12055" max="12055" width="16.28515625" style="64" customWidth="1"/>
    <col min="12056" max="12056" width="14.5703125" style="64" customWidth="1"/>
    <col min="12057" max="12057" width="15.85546875" style="64" customWidth="1"/>
    <col min="12058" max="12058" width="15.140625" style="64" customWidth="1"/>
    <col min="12059" max="12059" width="16" style="64" customWidth="1"/>
    <col min="12060" max="12060" width="16.5703125" style="64" customWidth="1"/>
    <col min="12061" max="12284" width="9.140625" style="64"/>
    <col min="12285" max="12285" width="8.28515625" style="64" customWidth="1"/>
    <col min="12286" max="12286" width="26.140625" style="64" customWidth="1"/>
    <col min="12287" max="12289" width="11.28515625" style="64" customWidth="1"/>
    <col min="12290" max="12290" width="10.28515625" style="64" customWidth="1"/>
    <col min="12291" max="12291" width="15.5703125" style="64" customWidth="1"/>
    <col min="12292" max="12292" width="16" style="64" customWidth="1"/>
    <col min="12293" max="12295" width="0" style="64" hidden="1" customWidth="1"/>
    <col min="12296" max="12296" width="17.140625" style="64" customWidth="1"/>
    <col min="12297" max="12297" width="16.85546875" style="64" customWidth="1"/>
    <col min="12298" max="12298" width="16.5703125" style="64" customWidth="1"/>
    <col min="12299" max="12299" width="16.28515625" style="64" customWidth="1"/>
    <col min="12300" max="12302" width="0" style="64" hidden="1" customWidth="1"/>
    <col min="12303" max="12303" width="16.42578125" style="64" customWidth="1"/>
    <col min="12304" max="12304" width="17" style="64" customWidth="1"/>
    <col min="12305" max="12307" width="0" style="64" hidden="1" customWidth="1"/>
    <col min="12308" max="12308" width="16.42578125" style="64" customWidth="1"/>
    <col min="12309" max="12309" width="16.140625" style="64" customWidth="1"/>
    <col min="12310" max="12310" width="16" style="64" customWidth="1"/>
    <col min="12311" max="12311" width="16.28515625" style="64" customWidth="1"/>
    <col min="12312" max="12312" width="14.5703125" style="64" customWidth="1"/>
    <col min="12313" max="12313" width="15.85546875" style="64" customWidth="1"/>
    <col min="12314" max="12314" width="15.140625" style="64" customWidth="1"/>
    <col min="12315" max="12315" width="16" style="64" customWidth="1"/>
    <col min="12316" max="12316" width="16.5703125" style="64" customWidth="1"/>
    <col min="12317" max="12540" width="9.140625" style="64"/>
    <col min="12541" max="12541" width="8.28515625" style="64" customWidth="1"/>
    <col min="12542" max="12542" width="26.140625" style="64" customWidth="1"/>
    <col min="12543" max="12545" width="11.28515625" style="64" customWidth="1"/>
    <col min="12546" max="12546" width="10.28515625" style="64" customWidth="1"/>
    <col min="12547" max="12547" width="15.5703125" style="64" customWidth="1"/>
    <col min="12548" max="12548" width="16" style="64" customWidth="1"/>
    <col min="12549" max="12551" width="0" style="64" hidden="1" customWidth="1"/>
    <col min="12552" max="12552" width="17.140625" style="64" customWidth="1"/>
    <col min="12553" max="12553" width="16.85546875" style="64" customWidth="1"/>
    <col min="12554" max="12554" width="16.5703125" style="64" customWidth="1"/>
    <col min="12555" max="12555" width="16.28515625" style="64" customWidth="1"/>
    <col min="12556" max="12558" width="0" style="64" hidden="1" customWidth="1"/>
    <col min="12559" max="12559" width="16.42578125" style="64" customWidth="1"/>
    <col min="12560" max="12560" width="17" style="64" customWidth="1"/>
    <col min="12561" max="12563" width="0" style="64" hidden="1" customWidth="1"/>
    <col min="12564" max="12564" width="16.42578125" style="64" customWidth="1"/>
    <col min="12565" max="12565" width="16.140625" style="64" customWidth="1"/>
    <col min="12566" max="12566" width="16" style="64" customWidth="1"/>
    <col min="12567" max="12567" width="16.28515625" style="64" customWidth="1"/>
    <col min="12568" max="12568" width="14.5703125" style="64" customWidth="1"/>
    <col min="12569" max="12569" width="15.85546875" style="64" customWidth="1"/>
    <col min="12570" max="12570" width="15.140625" style="64" customWidth="1"/>
    <col min="12571" max="12571" width="16" style="64" customWidth="1"/>
    <col min="12572" max="12572" width="16.5703125" style="64" customWidth="1"/>
    <col min="12573" max="12796" width="9.140625" style="64"/>
    <col min="12797" max="12797" width="8.28515625" style="64" customWidth="1"/>
    <col min="12798" max="12798" width="26.140625" style="64" customWidth="1"/>
    <col min="12799" max="12801" width="11.28515625" style="64" customWidth="1"/>
    <col min="12802" max="12802" width="10.28515625" style="64" customWidth="1"/>
    <col min="12803" max="12803" width="15.5703125" style="64" customWidth="1"/>
    <col min="12804" max="12804" width="16" style="64" customWidth="1"/>
    <col min="12805" max="12807" width="0" style="64" hidden="1" customWidth="1"/>
    <col min="12808" max="12808" width="17.140625" style="64" customWidth="1"/>
    <col min="12809" max="12809" width="16.85546875" style="64" customWidth="1"/>
    <col min="12810" max="12810" width="16.5703125" style="64" customWidth="1"/>
    <col min="12811" max="12811" width="16.28515625" style="64" customWidth="1"/>
    <col min="12812" max="12814" width="0" style="64" hidden="1" customWidth="1"/>
    <col min="12815" max="12815" width="16.42578125" style="64" customWidth="1"/>
    <col min="12816" max="12816" width="17" style="64" customWidth="1"/>
    <col min="12817" max="12819" width="0" style="64" hidden="1" customWidth="1"/>
    <col min="12820" max="12820" width="16.42578125" style="64" customWidth="1"/>
    <col min="12821" max="12821" width="16.140625" style="64" customWidth="1"/>
    <col min="12822" max="12822" width="16" style="64" customWidth="1"/>
    <col min="12823" max="12823" width="16.28515625" style="64" customWidth="1"/>
    <col min="12824" max="12824" width="14.5703125" style="64" customWidth="1"/>
    <col min="12825" max="12825" width="15.85546875" style="64" customWidth="1"/>
    <col min="12826" max="12826" width="15.140625" style="64" customWidth="1"/>
    <col min="12827" max="12827" width="16" style="64" customWidth="1"/>
    <col min="12828" max="12828" width="16.5703125" style="64" customWidth="1"/>
    <col min="12829" max="13052" width="9.140625" style="64"/>
    <col min="13053" max="13053" width="8.28515625" style="64" customWidth="1"/>
    <col min="13054" max="13054" width="26.140625" style="64" customWidth="1"/>
    <col min="13055" max="13057" width="11.28515625" style="64" customWidth="1"/>
    <col min="13058" max="13058" width="10.28515625" style="64" customWidth="1"/>
    <col min="13059" max="13059" width="15.5703125" style="64" customWidth="1"/>
    <col min="13060" max="13060" width="16" style="64" customWidth="1"/>
    <col min="13061" max="13063" width="0" style="64" hidden="1" customWidth="1"/>
    <col min="13064" max="13064" width="17.140625" style="64" customWidth="1"/>
    <col min="13065" max="13065" width="16.85546875" style="64" customWidth="1"/>
    <col min="13066" max="13066" width="16.5703125" style="64" customWidth="1"/>
    <col min="13067" max="13067" width="16.28515625" style="64" customWidth="1"/>
    <col min="13068" max="13070" width="0" style="64" hidden="1" customWidth="1"/>
    <col min="13071" max="13071" width="16.42578125" style="64" customWidth="1"/>
    <col min="13072" max="13072" width="17" style="64" customWidth="1"/>
    <col min="13073" max="13075" width="0" style="64" hidden="1" customWidth="1"/>
    <col min="13076" max="13076" width="16.42578125" style="64" customWidth="1"/>
    <col min="13077" max="13077" width="16.140625" style="64" customWidth="1"/>
    <col min="13078" max="13078" width="16" style="64" customWidth="1"/>
    <col min="13079" max="13079" width="16.28515625" style="64" customWidth="1"/>
    <col min="13080" max="13080" width="14.5703125" style="64" customWidth="1"/>
    <col min="13081" max="13081" width="15.85546875" style="64" customWidth="1"/>
    <col min="13082" max="13082" width="15.140625" style="64" customWidth="1"/>
    <col min="13083" max="13083" width="16" style="64" customWidth="1"/>
    <col min="13084" max="13084" width="16.5703125" style="64" customWidth="1"/>
    <col min="13085" max="13308" width="9.140625" style="64"/>
    <col min="13309" max="13309" width="8.28515625" style="64" customWidth="1"/>
    <col min="13310" max="13310" width="26.140625" style="64" customWidth="1"/>
    <col min="13311" max="13313" width="11.28515625" style="64" customWidth="1"/>
    <col min="13314" max="13314" width="10.28515625" style="64" customWidth="1"/>
    <col min="13315" max="13315" width="15.5703125" style="64" customWidth="1"/>
    <col min="13316" max="13316" width="16" style="64" customWidth="1"/>
    <col min="13317" max="13319" width="0" style="64" hidden="1" customWidth="1"/>
    <col min="13320" max="13320" width="17.140625" style="64" customWidth="1"/>
    <col min="13321" max="13321" width="16.85546875" style="64" customWidth="1"/>
    <col min="13322" max="13322" width="16.5703125" style="64" customWidth="1"/>
    <col min="13323" max="13323" width="16.28515625" style="64" customWidth="1"/>
    <col min="13324" max="13326" width="0" style="64" hidden="1" customWidth="1"/>
    <col min="13327" max="13327" width="16.42578125" style="64" customWidth="1"/>
    <col min="13328" max="13328" width="17" style="64" customWidth="1"/>
    <col min="13329" max="13331" width="0" style="64" hidden="1" customWidth="1"/>
    <col min="13332" max="13332" width="16.42578125" style="64" customWidth="1"/>
    <col min="13333" max="13333" width="16.140625" style="64" customWidth="1"/>
    <col min="13334" max="13334" width="16" style="64" customWidth="1"/>
    <col min="13335" max="13335" width="16.28515625" style="64" customWidth="1"/>
    <col min="13336" max="13336" width="14.5703125" style="64" customWidth="1"/>
    <col min="13337" max="13337" width="15.85546875" style="64" customWidth="1"/>
    <col min="13338" max="13338" width="15.140625" style="64" customWidth="1"/>
    <col min="13339" max="13339" width="16" style="64" customWidth="1"/>
    <col min="13340" max="13340" width="16.5703125" style="64" customWidth="1"/>
    <col min="13341" max="13564" width="9.140625" style="64"/>
    <col min="13565" max="13565" width="8.28515625" style="64" customWidth="1"/>
    <col min="13566" max="13566" width="26.140625" style="64" customWidth="1"/>
    <col min="13567" max="13569" width="11.28515625" style="64" customWidth="1"/>
    <col min="13570" max="13570" width="10.28515625" style="64" customWidth="1"/>
    <col min="13571" max="13571" width="15.5703125" style="64" customWidth="1"/>
    <col min="13572" max="13572" width="16" style="64" customWidth="1"/>
    <col min="13573" max="13575" width="0" style="64" hidden="1" customWidth="1"/>
    <col min="13576" max="13576" width="17.140625" style="64" customWidth="1"/>
    <col min="13577" max="13577" width="16.85546875" style="64" customWidth="1"/>
    <col min="13578" max="13578" width="16.5703125" style="64" customWidth="1"/>
    <col min="13579" max="13579" width="16.28515625" style="64" customWidth="1"/>
    <col min="13580" max="13582" width="0" style="64" hidden="1" customWidth="1"/>
    <col min="13583" max="13583" width="16.42578125" style="64" customWidth="1"/>
    <col min="13584" max="13584" width="17" style="64" customWidth="1"/>
    <col min="13585" max="13587" width="0" style="64" hidden="1" customWidth="1"/>
    <col min="13588" max="13588" width="16.42578125" style="64" customWidth="1"/>
    <col min="13589" max="13589" width="16.140625" style="64" customWidth="1"/>
    <col min="13590" max="13590" width="16" style="64" customWidth="1"/>
    <col min="13591" max="13591" width="16.28515625" style="64" customWidth="1"/>
    <col min="13592" max="13592" width="14.5703125" style="64" customWidth="1"/>
    <col min="13593" max="13593" width="15.85546875" style="64" customWidth="1"/>
    <col min="13594" max="13594" width="15.140625" style="64" customWidth="1"/>
    <col min="13595" max="13595" width="16" style="64" customWidth="1"/>
    <col min="13596" max="13596" width="16.5703125" style="64" customWidth="1"/>
    <col min="13597" max="13820" width="9.140625" style="64"/>
    <col min="13821" max="13821" width="8.28515625" style="64" customWidth="1"/>
    <col min="13822" max="13822" width="26.140625" style="64" customWidth="1"/>
    <col min="13823" max="13825" width="11.28515625" style="64" customWidth="1"/>
    <col min="13826" max="13826" width="10.28515625" style="64" customWidth="1"/>
    <col min="13827" max="13827" width="15.5703125" style="64" customWidth="1"/>
    <col min="13828" max="13828" width="16" style="64" customWidth="1"/>
    <col min="13829" max="13831" width="0" style="64" hidden="1" customWidth="1"/>
    <col min="13832" max="13832" width="17.140625" style="64" customWidth="1"/>
    <col min="13833" max="13833" width="16.85546875" style="64" customWidth="1"/>
    <col min="13834" max="13834" width="16.5703125" style="64" customWidth="1"/>
    <col min="13835" max="13835" width="16.28515625" style="64" customWidth="1"/>
    <col min="13836" max="13838" width="0" style="64" hidden="1" customWidth="1"/>
    <col min="13839" max="13839" width="16.42578125" style="64" customWidth="1"/>
    <col min="13840" max="13840" width="17" style="64" customWidth="1"/>
    <col min="13841" max="13843" width="0" style="64" hidden="1" customWidth="1"/>
    <col min="13844" max="13844" width="16.42578125" style="64" customWidth="1"/>
    <col min="13845" max="13845" width="16.140625" style="64" customWidth="1"/>
    <col min="13846" max="13846" width="16" style="64" customWidth="1"/>
    <col min="13847" max="13847" width="16.28515625" style="64" customWidth="1"/>
    <col min="13848" max="13848" width="14.5703125" style="64" customWidth="1"/>
    <col min="13849" max="13849" width="15.85546875" style="64" customWidth="1"/>
    <col min="13850" max="13850" width="15.140625" style="64" customWidth="1"/>
    <col min="13851" max="13851" width="16" style="64" customWidth="1"/>
    <col min="13852" max="13852" width="16.5703125" style="64" customWidth="1"/>
    <col min="13853" max="14076" width="9.140625" style="64"/>
    <col min="14077" max="14077" width="8.28515625" style="64" customWidth="1"/>
    <col min="14078" max="14078" width="26.140625" style="64" customWidth="1"/>
    <col min="14079" max="14081" width="11.28515625" style="64" customWidth="1"/>
    <col min="14082" max="14082" width="10.28515625" style="64" customWidth="1"/>
    <col min="14083" max="14083" width="15.5703125" style="64" customWidth="1"/>
    <col min="14084" max="14084" width="16" style="64" customWidth="1"/>
    <col min="14085" max="14087" width="0" style="64" hidden="1" customWidth="1"/>
    <col min="14088" max="14088" width="17.140625" style="64" customWidth="1"/>
    <col min="14089" max="14089" width="16.85546875" style="64" customWidth="1"/>
    <col min="14090" max="14090" width="16.5703125" style="64" customWidth="1"/>
    <col min="14091" max="14091" width="16.28515625" style="64" customWidth="1"/>
    <col min="14092" max="14094" width="0" style="64" hidden="1" customWidth="1"/>
    <col min="14095" max="14095" width="16.42578125" style="64" customWidth="1"/>
    <col min="14096" max="14096" width="17" style="64" customWidth="1"/>
    <col min="14097" max="14099" width="0" style="64" hidden="1" customWidth="1"/>
    <col min="14100" max="14100" width="16.42578125" style="64" customWidth="1"/>
    <col min="14101" max="14101" width="16.140625" style="64" customWidth="1"/>
    <col min="14102" max="14102" width="16" style="64" customWidth="1"/>
    <col min="14103" max="14103" width="16.28515625" style="64" customWidth="1"/>
    <col min="14104" max="14104" width="14.5703125" style="64" customWidth="1"/>
    <col min="14105" max="14105" width="15.85546875" style="64" customWidth="1"/>
    <col min="14106" max="14106" width="15.140625" style="64" customWidth="1"/>
    <col min="14107" max="14107" width="16" style="64" customWidth="1"/>
    <col min="14108" max="14108" width="16.5703125" style="64" customWidth="1"/>
    <col min="14109" max="14332" width="9.140625" style="64"/>
    <col min="14333" max="14333" width="8.28515625" style="64" customWidth="1"/>
    <col min="14334" max="14334" width="26.140625" style="64" customWidth="1"/>
    <col min="14335" max="14337" width="11.28515625" style="64" customWidth="1"/>
    <col min="14338" max="14338" width="10.28515625" style="64" customWidth="1"/>
    <col min="14339" max="14339" width="15.5703125" style="64" customWidth="1"/>
    <col min="14340" max="14340" width="16" style="64" customWidth="1"/>
    <col min="14341" max="14343" width="0" style="64" hidden="1" customWidth="1"/>
    <col min="14344" max="14344" width="17.140625" style="64" customWidth="1"/>
    <col min="14345" max="14345" width="16.85546875" style="64" customWidth="1"/>
    <col min="14346" max="14346" width="16.5703125" style="64" customWidth="1"/>
    <col min="14347" max="14347" width="16.28515625" style="64" customWidth="1"/>
    <col min="14348" max="14350" width="0" style="64" hidden="1" customWidth="1"/>
    <col min="14351" max="14351" width="16.42578125" style="64" customWidth="1"/>
    <col min="14352" max="14352" width="17" style="64" customWidth="1"/>
    <col min="14353" max="14355" width="0" style="64" hidden="1" customWidth="1"/>
    <col min="14356" max="14356" width="16.42578125" style="64" customWidth="1"/>
    <col min="14357" max="14357" width="16.140625" style="64" customWidth="1"/>
    <col min="14358" max="14358" width="16" style="64" customWidth="1"/>
    <col min="14359" max="14359" width="16.28515625" style="64" customWidth="1"/>
    <col min="14360" max="14360" width="14.5703125" style="64" customWidth="1"/>
    <col min="14361" max="14361" width="15.85546875" style="64" customWidth="1"/>
    <col min="14362" max="14362" width="15.140625" style="64" customWidth="1"/>
    <col min="14363" max="14363" width="16" style="64" customWidth="1"/>
    <col min="14364" max="14364" width="16.5703125" style="64" customWidth="1"/>
    <col min="14365" max="14588" width="9.140625" style="64"/>
    <col min="14589" max="14589" width="8.28515625" style="64" customWidth="1"/>
    <col min="14590" max="14590" width="26.140625" style="64" customWidth="1"/>
    <col min="14591" max="14593" width="11.28515625" style="64" customWidth="1"/>
    <col min="14594" max="14594" width="10.28515625" style="64" customWidth="1"/>
    <col min="14595" max="14595" width="15.5703125" style="64" customWidth="1"/>
    <col min="14596" max="14596" width="16" style="64" customWidth="1"/>
    <col min="14597" max="14599" width="0" style="64" hidden="1" customWidth="1"/>
    <col min="14600" max="14600" width="17.140625" style="64" customWidth="1"/>
    <col min="14601" max="14601" width="16.85546875" style="64" customWidth="1"/>
    <col min="14602" max="14602" width="16.5703125" style="64" customWidth="1"/>
    <col min="14603" max="14603" width="16.28515625" style="64" customWidth="1"/>
    <col min="14604" max="14606" width="0" style="64" hidden="1" customWidth="1"/>
    <col min="14607" max="14607" width="16.42578125" style="64" customWidth="1"/>
    <col min="14608" max="14608" width="17" style="64" customWidth="1"/>
    <col min="14609" max="14611" width="0" style="64" hidden="1" customWidth="1"/>
    <col min="14612" max="14612" width="16.42578125" style="64" customWidth="1"/>
    <col min="14613" max="14613" width="16.140625" style="64" customWidth="1"/>
    <col min="14614" max="14614" width="16" style="64" customWidth="1"/>
    <col min="14615" max="14615" width="16.28515625" style="64" customWidth="1"/>
    <col min="14616" max="14616" width="14.5703125" style="64" customWidth="1"/>
    <col min="14617" max="14617" width="15.85546875" style="64" customWidth="1"/>
    <col min="14618" max="14618" width="15.140625" style="64" customWidth="1"/>
    <col min="14619" max="14619" width="16" style="64" customWidth="1"/>
    <col min="14620" max="14620" width="16.5703125" style="64" customWidth="1"/>
    <col min="14621" max="14844" width="9.140625" style="64"/>
    <col min="14845" max="14845" width="8.28515625" style="64" customWidth="1"/>
    <col min="14846" max="14846" width="26.140625" style="64" customWidth="1"/>
    <col min="14847" max="14849" width="11.28515625" style="64" customWidth="1"/>
    <col min="14850" max="14850" width="10.28515625" style="64" customWidth="1"/>
    <col min="14851" max="14851" width="15.5703125" style="64" customWidth="1"/>
    <col min="14852" max="14852" width="16" style="64" customWidth="1"/>
    <col min="14853" max="14855" width="0" style="64" hidden="1" customWidth="1"/>
    <col min="14856" max="14856" width="17.140625" style="64" customWidth="1"/>
    <col min="14857" max="14857" width="16.85546875" style="64" customWidth="1"/>
    <col min="14858" max="14858" width="16.5703125" style="64" customWidth="1"/>
    <col min="14859" max="14859" width="16.28515625" style="64" customWidth="1"/>
    <col min="14860" max="14862" width="0" style="64" hidden="1" customWidth="1"/>
    <col min="14863" max="14863" width="16.42578125" style="64" customWidth="1"/>
    <col min="14864" max="14864" width="17" style="64" customWidth="1"/>
    <col min="14865" max="14867" width="0" style="64" hidden="1" customWidth="1"/>
    <col min="14868" max="14868" width="16.42578125" style="64" customWidth="1"/>
    <col min="14869" max="14869" width="16.140625" style="64" customWidth="1"/>
    <col min="14870" max="14870" width="16" style="64" customWidth="1"/>
    <col min="14871" max="14871" width="16.28515625" style="64" customWidth="1"/>
    <col min="14872" max="14872" width="14.5703125" style="64" customWidth="1"/>
    <col min="14873" max="14873" width="15.85546875" style="64" customWidth="1"/>
    <col min="14874" max="14874" width="15.140625" style="64" customWidth="1"/>
    <col min="14875" max="14875" width="16" style="64" customWidth="1"/>
    <col min="14876" max="14876" width="16.5703125" style="64" customWidth="1"/>
    <col min="14877" max="15100" width="9.140625" style="64"/>
    <col min="15101" max="15101" width="8.28515625" style="64" customWidth="1"/>
    <col min="15102" max="15102" width="26.140625" style="64" customWidth="1"/>
    <col min="15103" max="15105" width="11.28515625" style="64" customWidth="1"/>
    <col min="15106" max="15106" width="10.28515625" style="64" customWidth="1"/>
    <col min="15107" max="15107" width="15.5703125" style="64" customWidth="1"/>
    <col min="15108" max="15108" width="16" style="64" customWidth="1"/>
    <col min="15109" max="15111" width="0" style="64" hidden="1" customWidth="1"/>
    <col min="15112" max="15112" width="17.140625" style="64" customWidth="1"/>
    <col min="15113" max="15113" width="16.85546875" style="64" customWidth="1"/>
    <col min="15114" max="15114" width="16.5703125" style="64" customWidth="1"/>
    <col min="15115" max="15115" width="16.28515625" style="64" customWidth="1"/>
    <col min="15116" max="15118" width="0" style="64" hidden="1" customWidth="1"/>
    <col min="15119" max="15119" width="16.42578125" style="64" customWidth="1"/>
    <col min="15120" max="15120" width="17" style="64" customWidth="1"/>
    <col min="15121" max="15123" width="0" style="64" hidden="1" customWidth="1"/>
    <col min="15124" max="15124" width="16.42578125" style="64" customWidth="1"/>
    <col min="15125" max="15125" width="16.140625" style="64" customWidth="1"/>
    <col min="15126" max="15126" width="16" style="64" customWidth="1"/>
    <col min="15127" max="15127" width="16.28515625" style="64" customWidth="1"/>
    <col min="15128" max="15128" width="14.5703125" style="64" customWidth="1"/>
    <col min="15129" max="15129" width="15.85546875" style="64" customWidth="1"/>
    <col min="15130" max="15130" width="15.140625" style="64" customWidth="1"/>
    <col min="15131" max="15131" width="16" style="64" customWidth="1"/>
    <col min="15132" max="15132" width="16.5703125" style="64" customWidth="1"/>
    <col min="15133" max="15356" width="9.140625" style="64"/>
    <col min="15357" max="15357" width="8.28515625" style="64" customWidth="1"/>
    <col min="15358" max="15358" width="26.140625" style="64" customWidth="1"/>
    <col min="15359" max="15361" width="11.28515625" style="64" customWidth="1"/>
    <col min="15362" max="15362" width="10.28515625" style="64" customWidth="1"/>
    <col min="15363" max="15363" width="15.5703125" style="64" customWidth="1"/>
    <col min="15364" max="15364" width="16" style="64" customWidth="1"/>
    <col min="15365" max="15367" width="0" style="64" hidden="1" customWidth="1"/>
    <col min="15368" max="15368" width="17.140625" style="64" customWidth="1"/>
    <col min="15369" max="15369" width="16.85546875" style="64" customWidth="1"/>
    <col min="15370" max="15370" width="16.5703125" style="64" customWidth="1"/>
    <col min="15371" max="15371" width="16.28515625" style="64" customWidth="1"/>
    <col min="15372" max="15374" width="0" style="64" hidden="1" customWidth="1"/>
    <col min="15375" max="15375" width="16.42578125" style="64" customWidth="1"/>
    <col min="15376" max="15376" width="17" style="64" customWidth="1"/>
    <col min="15377" max="15379" width="0" style="64" hidden="1" customWidth="1"/>
    <col min="15380" max="15380" width="16.42578125" style="64" customWidth="1"/>
    <col min="15381" max="15381" width="16.140625" style="64" customWidth="1"/>
    <col min="15382" max="15382" width="16" style="64" customWidth="1"/>
    <col min="15383" max="15383" width="16.28515625" style="64" customWidth="1"/>
    <col min="15384" max="15384" width="14.5703125" style="64" customWidth="1"/>
    <col min="15385" max="15385" width="15.85546875" style="64" customWidth="1"/>
    <col min="15386" max="15386" width="15.140625" style="64" customWidth="1"/>
    <col min="15387" max="15387" width="16" style="64" customWidth="1"/>
    <col min="15388" max="15388" width="16.5703125" style="64" customWidth="1"/>
    <col min="15389" max="15612" width="9.140625" style="64"/>
    <col min="15613" max="15613" width="8.28515625" style="64" customWidth="1"/>
    <col min="15614" max="15614" width="26.140625" style="64" customWidth="1"/>
    <col min="15615" max="15617" width="11.28515625" style="64" customWidth="1"/>
    <col min="15618" max="15618" width="10.28515625" style="64" customWidth="1"/>
    <col min="15619" max="15619" width="15.5703125" style="64" customWidth="1"/>
    <col min="15620" max="15620" width="16" style="64" customWidth="1"/>
    <col min="15621" max="15623" width="0" style="64" hidden="1" customWidth="1"/>
    <col min="15624" max="15624" width="17.140625" style="64" customWidth="1"/>
    <col min="15625" max="15625" width="16.85546875" style="64" customWidth="1"/>
    <col min="15626" max="15626" width="16.5703125" style="64" customWidth="1"/>
    <col min="15627" max="15627" width="16.28515625" style="64" customWidth="1"/>
    <col min="15628" max="15630" width="0" style="64" hidden="1" customWidth="1"/>
    <col min="15631" max="15631" width="16.42578125" style="64" customWidth="1"/>
    <col min="15632" max="15632" width="17" style="64" customWidth="1"/>
    <col min="15633" max="15635" width="0" style="64" hidden="1" customWidth="1"/>
    <col min="15636" max="15636" width="16.42578125" style="64" customWidth="1"/>
    <col min="15637" max="15637" width="16.140625" style="64" customWidth="1"/>
    <col min="15638" max="15638" width="16" style="64" customWidth="1"/>
    <col min="15639" max="15639" width="16.28515625" style="64" customWidth="1"/>
    <col min="15640" max="15640" width="14.5703125" style="64" customWidth="1"/>
    <col min="15641" max="15641" width="15.85546875" style="64" customWidth="1"/>
    <col min="15642" max="15642" width="15.140625" style="64" customWidth="1"/>
    <col min="15643" max="15643" width="16" style="64" customWidth="1"/>
    <col min="15644" max="15644" width="16.5703125" style="64" customWidth="1"/>
    <col min="15645" max="15868" width="9.140625" style="64"/>
    <col min="15869" max="15869" width="8.28515625" style="64" customWidth="1"/>
    <col min="15870" max="15870" width="26.140625" style="64" customWidth="1"/>
    <col min="15871" max="15873" width="11.28515625" style="64" customWidth="1"/>
    <col min="15874" max="15874" width="10.28515625" style="64" customWidth="1"/>
    <col min="15875" max="15875" width="15.5703125" style="64" customWidth="1"/>
    <col min="15876" max="15876" width="16" style="64" customWidth="1"/>
    <col min="15877" max="15879" width="0" style="64" hidden="1" customWidth="1"/>
    <col min="15880" max="15880" width="17.140625" style="64" customWidth="1"/>
    <col min="15881" max="15881" width="16.85546875" style="64" customWidth="1"/>
    <col min="15882" max="15882" width="16.5703125" style="64" customWidth="1"/>
    <col min="15883" max="15883" width="16.28515625" style="64" customWidth="1"/>
    <col min="15884" max="15886" width="0" style="64" hidden="1" customWidth="1"/>
    <col min="15887" max="15887" width="16.42578125" style="64" customWidth="1"/>
    <col min="15888" max="15888" width="17" style="64" customWidth="1"/>
    <col min="15889" max="15891" width="0" style="64" hidden="1" customWidth="1"/>
    <col min="15892" max="15892" width="16.42578125" style="64" customWidth="1"/>
    <col min="15893" max="15893" width="16.140625" style="64" customWidth="1"/>
    <col min="15894" max="15894" width="16" style="64" customWidth="1"/>
    <col min="15895" max="15895" width="16.28515625" style="64" customWidth="1"/>
    <col min="15896" max="15896" width="14.5703125" style="64" customWidth="1"/>
    <col min="15897" max="15897" width="15.85546875" style="64" customWidth="1"/>
    <col min="15898" max="15898" width="15.140625" style="64" customWidth="1"/>
    <col min="15899" max="15899" width="16" style="64" customWidth="1"/>
    <col min="15900" max="15900" width="16.5703125" style="64" customWidth="1"/>
    <col min="15901" max="16124" width="9.140625" style="64"/>
    <col min="16125" max="16125" width="8.28515625" style="64" customWidth="1"/>
    <col min="16126" max="16126" width="26.140625" style="64" customWidth="1"/>
    <col min="16127" max="16129" width="11.28515625" style="64" customWidth="1"/>
    <col min="16130" max="16130" width="10.28515625" style="64" customWidth="1"/>
    <col min="16131" max="16131" width="15.5703125" style="64" customWidth="1"/>
    <col min="16132" max="16132" width="16" style="64" customWidth="1"/>
    <col min="16133" max="16135" width="0" style="64" hidden="1" customWidth="1"/>
    <col min="16136" max="16136" width="17.140625" style="64" customWidth="1"/>
    <col min="16137" max="16137" width="16.85546875" style="64" customWidth="1"/>
    <col min="16138" max="16138" width="16.5703125" style="64" customWidth="1"/>
    <col min="16139" max="16139" width="16.28515625" style="64" customWidth="1"/>
    <col min="16140" max="16142" width="0" style="64" hidden="1" customWidth="1"/>
    <col min="16143" max="16143" width="16.42578125" style="64" customWidth="1"/>
    <col min="16144" max="16144" width="17" style="64" customWidth="1"/>
    <col min="16145" max="16147" width="0" style="64" hidden="1" customWidth="1"/>
    <col min="16148" max="16148" width="16.42578125" style="64" customWidth="1"/>
    <col min="16149" max="16149" width="16.140625" style="64" customWidth="1"/>
    <col min="16150" max="16150" width="16" style="64" customWidth="1"/>
    <col min="16151" max="16151" width="16.28515625" style="64" customWidth="1"/>
    <col min="16152" max="16152" width="14.5703125" style="64" customWidth="1"/>
    <col min="16153" max="16153" width="15.85546875" style="64" customWidth="1"/>
    <col min="16154" max="16154" width="15.140625" style="64" customWidth="1"/>
    <col min="16155" max="16155" width="16" style="64" customWidth="1"/>
    <col min="16156" max="16156" width="16.5703125" style="64" customWidth="1"/>
    <col min="16157" max="16384" width="9.140625" style="64"/>
  </cols>
  <sheetData>
    <row r="1" spans="1:40">
      <c r="A1" s="61"/>
      <c r="B1" s="61"/>
      <c r="C1" s="61"/>
      <c r="D1" s="61"/>
      <c r="E1" s="61"/>
      <c r="F1" s="61"/>
      <c r="G1" s="61"/>
      <c r="H1" s="61"/>
      <c r="I1" s="61"/>
      <c r="J1" s="62"/>
      <c r="K1" s="62"/>
      <c r="L1" s="62"/>
      <c r="M1" s="62"/>
      <c r="N1" s="62"/>
      <c r="O1" s="63"/>
      <c r="P1" s="63"/>
      <c r="Q1" s="63"/>
      <c r="R1" s="63"/>
      <c r="S1" s="63"/>
      <c r="T1" s="63"/>
      <c r="U1" s="63"/>
      <c r="W1" s="63"/>
    </row>
    <row r="2" spans="1:40" s="66" customFormat="1" ht="51.75" customHeight="1">
      <c r="A2" s="65"/>
      <c r="B2" s="65"/>
      <c r="C2" s="136" t="s">
        <v>234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65"/>
      <c r="S2" s="65"/>
      <c r="T2" s="65"/>
      <c r="U2" s="65"/>
      <c r="V2" s="162"/>
      <c r="W2" s="65"/>
    </row>
    <row r="3" spans="1:40">
      <c r="A3" s="67"/>
      <c r="B3" s="67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63"/>
      <c r="Q3" s="63"/>
      <c r="R3" s="63"/>
      <c r="S3" s="63"/>
      <c r="T3" s="63"/>
      <c r="U3" s="63"/>
      <c r="W3" s="63"/>
      <c r="Z3" s="63" t="s">
        <v>59</v>
      </c>
      <c r="AA3" s="70"/>
      <c r="AB3" s="70"/>
    </row>
    <row r="4" spans="1:40" ht="67.5" customHeight="1">
      <c r="A4" s="231" t="s">
        <v>7</v>
      </c>
      <c r="B4" s="133" t="s">
        <v>20</v>
      </c>
      <c r="C4" s="232" t="s">
        <v>8</v>
      </c>
      <c r="D4" s="233"/>
      <c r="E4" s="233"/>
      <c r="F4" s="233"/>
      <c r="G4" s="233"/>
      <c r="H4" s="234"/>
      <c r="I4" s="232" t="s">
        <v>230</v>
      </c>
      <c r="J4" s="233"/>
      <c r="K4" s="234"/>
      <c r="L4" s="71"/>
      <c r="M4" s="71"/>
      <c r="N4" s="71"/>
      <c r="O4" s="232" t="s">
        <v>275</v>
      </c>
      <c r="P4" s="233"/>
      <c r="Q4" s="233"/>
      <c r="R4" s="233"/>
      <c r="S4" s="233"/>
      <c r="T4" s="234"/>
      <c r="U4" s="232" t="s">
        <v>276</v>
      </c>
      <c r="V4" s="233"/>
      <c r="W4" s="233"/>
      <c r="X4" s="232" t="s">
        <v>9</v>
      </c>
      <c r="Y4" s="233"/>
      <c r="Z4" s="233"/>
      <c r="AA4" s="233"/>
      <c r="AB4" s="234"/>
      <c r="AF4" s="244"/>
      <c r="AG4" s="244"/>
      <c r="AH4" s="244"/>
      <c r="AI4" s="244"/>
      <c r="AJ4" s="244"/>
      <c r="AK4" s="72"/>
      <c r="AL4" s="72"/>
      <c r="AM4" s="72"/>
      <c r="AN4" s="72"/>
    </row>
    <row r="5" spans="1:40" ht="36" customHeight="1">
      <c r="A5" s="231"/>
      <c r="B5" s="134"/>
      <c r="C5" s="243" t="s">
        <v>291</v>
      </c>
      <c r="D5" s="237" t="s">
        <v>316</v>
      </c>
      <c r="E5" s="238"/>
      <c r="F5" s="238"/>
      <c r="G5" s="239"/>
      <c r="H5" s="243" t="s">
        <v>317</v>
      </c>
      <c r="I5" s="243" t="s">
        <v>291</v>
      </c>
      <c r="J5" s="235" t="s">
        <v>316</v>
      </c>
      <c r="K5" s="237" t="s">
        <v>291</v>
      </c>
      <c r="L5" s="238"/>
      <c r="M5" s="238"/>
      <c r="N5" s="239"/>
      <c r="O5" s="243" t="s">
        <v>291</v>
      </c>
      <c r="P5" s="235" t="s">
        <v>316</v>
      </c>
      <c r="Q5" s="237" t="s">
        <v>317</v>
      </c>
      <c r="R5" s="238"/>
      <c r="S5" s="238"/>
      <c r="T5" s="239"/>
      <c r="U5" s="243" t="s">
        <v>291</v>
      </c>
      <c r="V5" s="245" t="s">
        <v>316</v>
      </c>
      <c r="W5" s="243" t="s">
        <v>317</v>
      </c>
      <c r="X5" s="243" t="s">
        <v>291</v>
      </c>
      <c r="Y5" s="247" t="s">
        <v>290</v>
      </c>
      <c r="Z5" s="243" t="s">
        <v>317</v>
      </c>
      <c r="AA5" s="247" t="s">
        <v>231</v>
      </c>
      <c r="AB5" s="247" t="s">
        <v>232</v>
      </c>
      <c r="AC5" s="72"/>
      <c r="AD5" s="72"/>
      <c r="AE5" s="72"/>
      <c r="AF5" s="244"/>
      <c r="AG5" s="244"/>
      <c r="AH5" s="244"/>
      <c r="AI5" s="244"/>
      <c r="AJ5" s="244"/>
      <c r="AK5" s="244"/>
      <c r="AL5" s="244"/>
      <c r="AM5" s="244"/>
      <c r="AN5" s="244"/>
    </row>
    <row r="6" spans="1:40" ht="44.25" customHeight="1">
      <c r="A6" s="231"/>
      <c r="B6" s="135"/>
      <c r="C6" s="243"/>
      <c r="D6" s="240"/>
      <c r="E6" s="241"/>
      <c r="F6" s="241"/>
      <c r="G6" s="242"/>
      <c r="H6" s="243"/>
      <c r="I6" s="243"/>
      <c r="J6" s="236"/>
      <c r="K6" s="240"/>
      <c r="L6" s="241"/>
      <c r="M6" s="241"/>
      <c r="N6" s="242"/>
      <c r="O6" s="243"/>
      <c r="P6" s="236"/>
      <c r="Q6" s="240"/>
      <c r="R6" s="241"/>
      <c r="S6" s="241"/>
      <c r="T6" s="242"/>
      <c r="U6" s="243"/>
      <c r="V6" s="246"/>
      <c r="W6" s="243"/>
      <c r="X6" s="243"/>
      <c r="Y6" s="248"/>
      <c r="Z6" s="243"/>
      <c r="AA6" s="248"/>
      <c r="AB6" s="248"/>
      <c r="AC6" s="72"/>
      <c r="AD6" s="72"/>
      <c r="AE6" s="72"/>
      <c r="AF6" s="244"/>
      <c r="AG6" s="244"/>
      <c r="AH6" s="244"/>
      <c r="AI6" s="244"/>
      <c r="AJ6" s="244"/>
      <c r="AK6" s="244"/>
      <c r="AL6" s="244"/>
      <c r="AM6" s="244"/>
      <c r="AN6" s="244"/>
    </row>
    <row r="7" spans="1:40" ht="30" customHeight="1">
      <c r="A7" s="73">
        <v>1</v>
      </c>
      <c r="B7" s="131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5</v>
      </c>
      <c r="I7" s="73">
        <v>6</v>
      </c>
      <c r="J7" s="73">
        <v>7</v>
      </c>
      <c r="K7" s="73">
        <v>8</v>
      </c>
      <c r="L7" s="73">
        <v>15</v>
      </c>
      <c r="M7" s="73">
        <v>16</v>
      </c>
      <c r="N7" s="73">
        <v>17</v>
      </c>
      <c r="O7" s="74">
        <v>9</v>
      </c>
      <c r="P7" s="74">
        <v>10</v>
      </c>
      <c r="Q7" s="74">
        <v>20</v>
      </c>
      <c r="R7" s="74">
        <v>21</v>
      </c>
      <c r="S7" s="74">
        <v>22</v>
      </c>
      <c r="T7" s="74">
        <v>11</v>
      </c>
      <c r="U7" s="74">
        <v>12</v>
      </c>
      <c r="V7" s="163">
        <v>13</v>
      </c>
      <c r="W7" s="75">
        <v>14</v>
      </c>
      <c r="X7" s="76">
        <v>15</v>
      </c>
      <c r="Y7" s="76">
        <v>16</v>
      </c>
      <c r="Z7" s="76">
        <v>17</v>
      </c>
      <c r="AA7" s="73">
        <v>18</v>
      </c>
      <c r="AB7" s="73">
        <v>19</v>
      </c>
      <c r="AC7" s="77"/>
      <c r="AD7" s="77"/>
      <c r="AE7" s="77"/>
      <c r="AF7" s="61"/>
      <c r="AG7" s="61"/>
      <c r="AH7" s="61"/>
      <c r="AI7" s="61"/>
      <c r="AJ7" s="61"/>
      <c r="AK7" s="61"/>
      <c r="AL7" s="61"/>
      <c r="AM7" s="61"/>
      <c r="AN7" s="61"/>
    </row>
    <row r="8" spans="1:40" ht="48" customHeight="1">
      <c r="A8" s="91">
        <v>1</v>
      </c>
      <c r="B8" s="132" t="s">
        <v>104</v>
      </c>
      <c r="C8" s="37">
        <f t="shared" ref="C8:N8" si="0">SUM(C9:C9,)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37">
        <f>SUM(O9:O12,)</f>
        <v>158.9</v>
      </c>
      <c r="P8" s="37">
        <f>SUM(P9:P9,)</f>
        <v>0</v>
      </c>
      <c r="Q8" s="37">
        <f>SUM(Q9:Q9,)</f>
        <v>0</v>
      </c>
      <c r="R8" s="37">
        <f>SUM(R9:R9,)</f>
        <v>0</v>
      </c>
      <c r="S8" s="37">
        <f>SUM(S9:S9,)</f>
        <v>0</v>
      </c>
      <c r="T8" s="37">
        <f>SUM(T9:T12,)</f>
        <v>230.60000000000002</v>
      </c>
      <c r="U8" s="37">
        <f>SUM(U9:U9,)</f>
        <v>0</v>
      </c>
      <c r="V8" s="38">
        <f>SUM(V9:V9,)</f>
        <v>0</v>
      </c>
      <c r="W8" s="38">
        <f>SUM(W9:W9,)</f>
        <v>0</v>
      </c>
      <c r="X8" s="78">
        <f>SUM(X9:X9,)</f>
        <v>0</v>
      </c>
      <c r="Y8" s="78">
        <f>SUM(Y9:Y9,)</f>
        <v>0</v>
      </c>
      <c r="Z8" s="78">
        <f>SUM(Z9:Z12,)</f>
        <v>230.60000000000002</v>
      </c>
      <c r="AA8" s="38">
        <f t="shared" ref="AA8" si="1">Z8-Y8</f>
        <v>230.60000000000002</v>
      </c>
      <c r="AB8" s="168" t="e">
        <f t="shared" ref="AB8" si="2">Z8/Y8*100</f>
        <v>#DIV/0!</v>
      </c>
      <c r="AC8" s="79"/>
      <c r="AD8" s="79"/>
      <c r="AE8" s="79"/>
      <c r="AF8" s="80"/>
      <c r="AG8" s="80"/>
      <c r="AH8" s="81"/>
      <c r="AI8" s="81"/>
      <c r="AJ8" s="81"/>
      <c r="AK8" s="81"/>
      <c r="AL8" s="81"/>
      <c r="AM8" s="81"/>
      <c r="AN8" s="79"/>
    </row>
    <row r="9" spans="1:40" ht="34.5" customHeight="1">
      <c r="A9" s="91"/>
      <c r="B9" s="131" t="s">
        <v>325</v>
      </c>
      <c r="C9" s="82"/>
      <c r="D9" s="82"/>
      <c r="E9" s="82"/>
      <c r="F9" s="82"/>
      <c r="G9" s="82"/>
      <c r="H9" s="82"/>
      <c r="I9" s="82"/>
      <c r="J9" s="82"/>
      <c r="K9" s="83"/>
      <c r="L9" s="82"/>
      <c r="M9" s="82"/>
      <c r="N9" s="82"/>
      <c r="O9" s="82"/>
      <c r="P9" s="84">
        <v>0</v>
      </c>
      <c r="Q9" s="84"/>
      <c r="R9" s="84"/>
      <c r="S9" s="84"/>
      <c r="T9" s="82">
        <v>57.3</v>
      </c>
      <c r="U9" s="85"/>
      <c r="V9" s="87"/>
      <c r="W9" s="85"/>
      <c r="X9" s="86">
        <f t="shared" ref="X9" si="3">SUM(C9,I9,O9,U9)</f>
        <v>0</v>
      </c>
      <c r="Y9" s="86">
        <f t="shared" ref="Y9" si="4">SUM(D9,J9,P9,V9)</f>
        <v>0</v>
      </c>
      <c r="Z9" s="86">
        <f t="shared" ref="Z9:Z11" si="5">SUM(H9,K9,T9,W9)</f>
        <v>57.3</v>
      </c>
      <c r="AA9" s="87">
        <f t="shared" ref="AA9" si="6">Z9-Y9</f>
        <v>57.3</v>
      </c>
      <c r="AB9" s="115" t="e">
        <f t="shared" ref="AB9" si="7">Z9/Y9*100</f>
        <v>#DIV/0!</v>
      </c>
      <c r="AC9" s="88"/>
      <c r="AD9" s="88"/>
      <c r="AE9" s="88"/>
      <c r="AF9" s="80"/>
      <c r="AG9" s="80"/>
      <c r="AH9" s="89"/>
      <c r="AI9" s="89"/>
      <c r="AJ9" s="89"/>
      <c r="AK9" s="88"/>
      <c r="AL9" s="88"/>
      <c r="AM9" s="88"/>
      <c r="AN9" s="90"/>
    </row>
    <row r="10" spans="1:40" ht="47.25" customHeight="1">
      <c r="A10" s="91"/>
      <c r="B10" s="131" t="s">
        <v>326</v>
      </c>
      <c r="C10" s="82"/>
      <c r="D10" s="82"/>
      <c r="E10" s="82"/>
      <c r="F10" s="82"/>
      <c r="G10" s="82"/>
      <c r="H10" s="82"/>
      <c r="I10" s="82"/>
      <c r="J10" s="82"/>
      <c r="K10" s="83"/>
      <c r="L10" s="82"/>
      <c r="M10" s="82"/>
      <c r="N10" s="82"/>
      <c r="O10" s="82"/>
      <c r="P10" s="84"/>
      <c r="Q10" s="84"/>
      <c r="R10" s="84"/>
      <c r="S10" s="84"/>
      <c r="T10" s="82">
        <v>120</v>
      </c>
      <c r="U10" s="85"/>
      <c r="V10" s="87"/>
      <c r="W10" s="85"/>
      <c r="X10" s="86"/>
      <c r="Y10" s="86"/>
      <c r="Z10" s="86">
        <f t="shared" si="5"/>
        <v>120</v>
      </c>
      <c r="AA10" s="87">
        <f t="shared" ref="AA10:AA14" si="8">Z10-Y10</f>
        <v>120</v>
      </c>
      <c r="AB10" s="115" t="e">
        <f t="shared" ref="AB10:AB14" si="9">Z10/Y10*100</f>
        <v>#DIV/0!</v>
      </c>
      <c r="AC10" s="88"/>
      <c r="AD10" s="88"/>
      <c r="AE10" s="88"/>
      <c r="AF10" s="80"/>
      <c r="AG10" s="80"/>
      <c r="AH10" s="89"/>
      <c r="AI10" s="89"/>
      <c r="AJ10" s="89"/>
      <c r="AK10" s="88"/>
      <c r="AL10" s="88"/>
      <c r="AM10" s="88"/>
      <c r="AN10" s="90"/>
    </row>
    <row r="11" spans="1:40" ht="34.5" customHeight="1">
      <c r="A11" s="91"/>
      <c r="B11" s="131" t="s">
        <v>299</v>
      </c>
      <c r="C11" s="82"/>
      <c r="D11" s="82"/>
      <c r="E11" s="82"/>
      <c r="F11" s="82"/>
      <c r="G11" s="82"/>
      <c r="H11" s="82"/>
      <c r="I11" s="82"/>
      <c r="J11" s="82"/>
      <c r="K11" s="83"/>
      <c r="L11" s="82"/>
      <c r="M11" s="82"/>
      <c r="N11" s="82"/>
      <c r="O11" s="82"/>
      <c r="P11" s="84"/>
      <c r="Q11" s="84"/>
      <c r="R11" s="84"/>
      <c r="S11" s="84"/>
      <c r="T11" s="82">
        <v>53.3</v>
      </c>
      <c r="U11" s="85"/>
      <c r="V11" s="87"/>
      <c r="W11" s="85"/>
      <c r="X11" s="86"/>
      <c r="Y11" s="86"/>
      <c r="Z11" s="86">
        <f t="shared" si="5"/>
        <v>53.3</v>
      </c>
      <c r="AA11" s="87">
        <f t="shared" si="8"/>
        <v>53.3</v>
      </c>
      <c r="AB11" s="115" t="e">
        <f t="shared" si="9"/>
        <v>#DIV/0!</v>
      </c>
      <c r="AC11" s="88"/>
      <c r="AD11" s="88"/>
      <c r="AE11" s="88"/>
      <c r="AF11" s="80"/>
      <c r="AG11" s="80"/>
      <c r="AH11" s="89"/>
      <c r="AI11" s="89"/>
      <c r="AJ11" s="89"/>
      <c r="AK11" s="88"/>
      <c r="AL11" s="88"/>
      <c r="AM11" s="88"/>
      <c r="AN11" s="90"/>
    </row>
    <row r="12" spans="1:40" ht="34.5" customHeight="1">
      <c r="A12" s="91"/>
      <c r="B12" s="131" t="s">
        <v>299</v>
      </c>
      <c r="C12" s="82"/>
      <c r="D12" s="82"/>
      <c r="E12" s="82"/>
      <c r="F12" s="82"/>
      <c r="G12" s="82"/>
      <c r="H12" s="82"/>
      <c r="I12" s="82"/>
      <c r="J12" s="82"/>
      <c r="K12" s="83"/>
      <c r="L12" s="82"/>
      <c r="M12" s="82"/>
      <c r="N12" s="82"/>
      <c r="O12" s="82">
        <v>158.9</v>
      </c>
      <c r="P12" s="84"/>
      <c r="Q12" s="84"/>
      <c r="R12" s="84"/>
      <c r="S12" s="84"/>
      <c r="T12" s="82"/>
      <c r="U12" s="85"/>
      <c r="V12" s="87"/>
      <c r="W12" s="85"/>
      <c r="X12" s="86">
        <f t="shared" ref="X12" si="10">SUM(C12,I12,O12,U12)</f>
        <v>158.9</v>
      </c>
      <c r="Y12" s="86">
        <f t="shared" ref="Y12" si="11">SUM(D12,J12,P12,V12)</f>
        <v>0</v>
      </c>
      <c r="Z12" s="86">
        <f t="shared" ref="Z12" si="12">SUM(H12,K12,T12,W12)</f>
        <v>0</v>
      </c>
      <c r="AA12" s="87">
        <f t="shared" si="8"/>
        <v>0</v>
      </c>
      <c r="AB12" s="115" t="e">
        <f t="shared" si="9"/>
        <v>#DIV/0!</v>
      </c>
      <c r="AC12" s="88"/>
      <c r="AD12" s="88"/>
      <c r="AE12" s="88"/>
      <c r="AF12" s="80"/>
      <c r="AG12" s="80"/>
      <c r="AH12" s="89"/>
      <c r="AI12" s="89"/>
      <c r="AJ12" s="89"/>
      <c r="AK12" s="88"/>
      <c r="AL12" s="88"/>
      <c r="AM12" s="88"/>
      <c r="AN12" s="90"/>
    </row>
    <row r="13" spans="1:40" ht="54.75" customHeight="1">
      <c r="A13" s="91">
        <v>2</v>
      </c>
      <c r="B13" s="132" t="s">
        <v>105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>
        <v>16.5</v>
      </c>
      <c r="X13" s="78">
        <f t="shared" ref="X13:Y13" si="13">SUM(C13,I13,O13,U13)</f>
        <v>0</v>
      </c>
      <c r="Y13" s="78">
        <f t="shared" si="13"/>
        <v>0</v>
      </c>
      <c r="Z13" s="78">
        <f t="shared" ref="Z13" si="14">SUM(H13,K13,T13,W13)</f>
        <v>16.5</v>
      </c>
      <c r="AA13" s="38">
        <f t="shared" si="8"/>
        <v>16.5</v>
      </c>
      <c r="AB13" s="168" t="e">
        <f t="shared" si="9"/>
        <v>#DIV/0!</v>
      </c>
      <c r="AC13" s="79"/>
      <c r="AD13" s="79"/>
      <c r="AE13" s="79"/>
      <c r="AF13" s="80"/>
      <c r="AG13" s="80"/>
      <c r="AH13" s="81"/>
      <c r="AI13" s="81"/>
      <c r="AJ13" s="81"/>
      <c r="AK13" s="81"/>
      <c r="AL13" s="81"/>
      <c r="AM13" s="81"/>
      <c r="AN13" s="79"/>
    </row>
    <row r="14" spans="1:40" ht="40.5" customHeight="1">
      <c r="A14" s="249" t="s">
        <v>9</v>
      </c>
      <c r="B14" s="250"/>
      <c r="C14" s="92">
        <f t="shared" ref="C14:Z14" si="15">SUM(C8,C13,)</f>
        <v>0</v>
      </c>
      <c r="D14" s="92">
        <f t="shared" si="15"/>
        <v>0</v>
      </c>
      <c r="E14" s="92">
        <f t="shared" si="15"/>
        <v>0</v>
      </c>
      <c r="F14" s="92">
        <f t="shared" si="15"/>
        <v>0</v>
      </c>
      <c r="G14" s="92">
        <f t="shared" si="15"/>
        <v>0</v>
      </c>
      <c r="H14" s="92">
        <f t="shared" si="15"/>
        <v>0</v>
      </c>
      <c r="I14" s="92">
        <f t="shared" si="15"/>
        <v>0</v>
      </c>
      <c r="J14" s="92">
        <f t="shared" si="15"/>
        <v>0</v>
      </c>
      <c r="K14" s="92">
        <f t="shared" si="15"/>
        <v>0</v>
      </c>
      <c r="L14" s="92">
        <f t="shared" si="15"/>
        <v>0</v>
      </c>
      <c r="M14" s="92">
        <f t="shared" si="15"/>
        <v>0</v>
      </c>
      <c r="N14" s="92">
        <f t="shared" si="15"/>
        <v>0</v>
      </c>
      <c r="O14" s="92">
        <f t="shared" si="15"/>
        <v>158.9</v>
      </c>
      <c r="P14" s="92">
        <f t="shared" si="15"/>
        <v>0</v>
      </c>
      <c r="Q14" s="92">
        <f t="shared" si="15"/>
        <v>0</v>
      </c>
      <c r="R14" s="92">
        <f t="shared" si="15"/>
        <v>0</v>
      </c>
      <c r="S14" s="92">
        <f t="shared" si="15"/>
        <v>0</v>
      </c>
      <c r="T14" s="92">
        <f t="shared" si="15"/>
        <v>230.60000000000002</v>
      </c>
      <c r="U14" s="92">
        <f t="shared" si="15"/>
        <v>0</v>
      </c>
      <c r="V14" s="38">
        <f t="shared" si="15"/>
        <v>0</v>
      </c>
      <c r="W14" s="92">
        <f t="shared" si="15"/>
        <v>16.5</v>
      </c>
      <c r="X14" s="92">
        <f t="shared" si="15"/>
        <v>0</v>
      </c>
      <c r="Y14" s="92">
        <f t="shared" si="15"/>
        <v>0</v>
      </c>
      <c r="Z14" s="92">
        <f t="shared" si="15"/>
        <v>247.10000000000002</v>
      </c>
      <c r="AA14" s="92">
        <f t="shared" si="8"/>
        <v>247.10000000000002</v>
      </c>
      <c r="AB14" s="168" t="e">
        <f t="shared" si="9"/>
        <v>#DIV/0!</v>
      </c>
      <c r="AC14" s="79"/>
      <c r="AD14" s="79"/>
      <c r="AE14" s="79"/>
      <c r="AF14" s="80"/>
      <c r="AG14" s="80"/>
      <c r="AH14" s="79"/>
      <c r="AI14" s="79"/>
      <c r="AJ14" s="79"/>
      <c r="AK14" s="79"/>
      <c r="AL14" s="79"/>
      <c r="AM14" s="79"/>
      <c r="AN14" s="79"/>
    </row>
    <row r="15" spans="1:40" ht="20.100000000000001" customHeight="1">
      <c r="A15" s="77"/>
      <c r="B15" s="77"/>
      <c r="C15" s="93"/>
      <c r="D15" s="93"/>
      <c r="E15" s="93"/>
      <c r="F15" s="93"/>
      <c r="G15" s="93"/>
      <c r="H15" s="93"/>
      <c r="I15" s="93"/>
      <c r="J15" s="93"/>
      <c r="K15" s="93"/>
      <c r="L15" s="77"/>
      <c r="M15" s="77"/>
      <c r="N15" s="77"/>
      <c r="O15" s="77"/>
      <c r="P15" s="93"/>
      <c r="Q15" s="77"/>
      <c r="R15" s="77"/>
      <c r="S15" s="77"/>
      <c r="T15" s="77"/>
      <c r="U15" s="63"/>
      <c r="AF15" s="80"/>
      <c r="AG15" s="80"/>
      <c r="AH15" s="80"/>
      <c r="AI15" s="80"/>
      <c r="AJ15" s="80"/>
      <c r="AK15" s="80"/>
      <c r="AL15" s="80"/>
      <c r="AM15" s="80"/>
      <c r="AN15" s="80"/>
    </row>
    <row r="16" spans="1:40" ht="14.25" customHeight="1">
      <c r="A16" s="94"/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63"/>
      <c r="P16" s="63"/>
      <c r="Q16" s="63"/>
      <c r="R16" s="63"/>
      <c r="S16" s="63"/>
      <c r="T16" s="63"/>
      <c r="U16" s="63"/>
      <c r="W16" s="63"/>
    </row>
    <row r="17" spans="1:26" ht="19.5" hidden="1" customHeight="1">
      <c r="A17" s="94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63"/>
      <c r="P17" s="63"/>
      <c r="Q17" s="63"/>
      <c r="R17" s="63"/>
      <c r="S17" s="63"/>
      <c r="T17" s="63"/>
      <c r="U17" s="63"/>
      <c r="W17" s="63"/>
    </row>
    <row r="18" spans="1:26" s="97" customFormat="1" ht="20.100000000000001" customHeight="1">
      <c r="A18" s="96"/>
      <c r="B18" s="96"/>
      <c r="C18" s="65"/>
      <c r="D18" s="65"/>
      <c r="E18" s="65"/>
      <c r="F18" s="65"/>
      <c r="G18" s="6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164"/>
      <c r="W18" s="96"/>
    </row>
    <row r="19" spans="1:26" s="101" customFormat="1" ht="36" customHeight="1">
      <c r="A19" s="98"/>
      <c r="B19" s="129" t="s">
        <v>233</v>
      </c>
      <c r="C19" s="99"/>
      <c r="D19" s="99"/>
      <c r="E19" s="99"/>
      <c r="F19" s="99"/>
      <c r="G19" s="99"/>
      <c r="H19" s="253"/>
      <c r="I19" s="253"/>
      <c r="J19" s="100"/>
      <c r="K19" s="100"/>
      <c r="L19" s="100"/>
      <c r="M19" s="100"/>
      <c r="N19" s="100"/>
      <c r="O19" s="256"/>
      <c r="P19" s="256"/>
      <c r="T19" s="98"/>
      <c r="U19" s="98"/>
      <c r="V19" s="254" t="s">
        <v>263</v>
      </c>
      <c r="W19" s="254"/>
      <c r="X19" s="254"/>
      <c r="Y19" s="254"/>
      <c r="Z19" s="254"/>
    </row>
    <row r="20" spans="1:26" s="97" customFormat="1" ht="27" customHeight="1">
      <c r="A20" s="96"/>
      <c r="B20" s="102"/>
      <c r="C20" s="103"/>
      <c r="D20" s="103"/>
      <c r="E20" s="103"/>
      <c r="F20" s="103"/>
      <c r="G20" s="103"/>
      <c r="H20" s="61"/>
      <c r="I20" s="103"/>
      <c r="J20" s="103"/>
      <c r="K20" s="103"/>
      <c r="L20" s="103"/>
      <c r="M20" s="96"/>
      <c r="N20" s="96"/>
      <c r="O20" s="257" t="s">
        <v>11</v>
      </c>
      <c r="P20" s="257"/>
      <c r="T20" s="96"/>
      <c r="U20" s="96"/>
      <c r="V20" s="255" t="s">
        <v>16</v>
      </c>
      <c r="W20" s="255"/>
      <c r="X20" s="255"/>
      <c r="Y20" s="255"/>
      <c r="Z20" s="255"/>
    </row>
    <row r="21" spans="1:26" ht="20.100000000000001" customHeight="1">
      <c r="A21" s="63"/>
      <c r="B21" s="104"/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4"/>
      <c r="N21" s="104"/>
      <c r="O21" s="63"/>
      <c r="P21" s="63"/>
      <c r="Q21" s="63"/>
      <c r="R21" s="63"/>
      <c r="S21" s="63"/>
      <c r="T21" s="63"/>
      <c r="U21" s="63"/>
      <c r="W21" s="63"/>
    </row>
    <row r="22" spans="1:26" ht="20.100000000000001" customHeight="1">
      <c r="A22" s="6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63"/>
      <c r="P22" s="63"/>
      <c r="Q22" s="63"/>
      <c r="R22" s="63"/>
      <c r="S22" s="63"/>
      <c r="T22" s="63"/>
      <c r="U22" s="63"/>
      <c r="W22" s="63"/>
    </row>
    <row r="23" spans="1:26">
      <c r="A23" s="6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63"/>
      <c r="P23" s="63"/>
      <c r="Q23" s="63"/>
      <c r="R23" s="63"/>
      <c r="S23" s="63"/>
      <c r="T23" s="63"/>
      <c r="U23" s="63"/>
      <c r="W23" s="63"/>
    </row>
    <row r="24" spans="1:26" s="252" customFormat="1" ht="19.149999999999999" customHeight="1">
      <c r="A24" s="251" t="s">
        <v>60</v>
      </c>
    </row>
    <row r="27" spans="1:26">
      <c r="B27" s="106"/>
    </row>
    <row r="28" spans="1:26">
      <c r="B28" s="106"/>
    </row>
    <row r="29" spans="1:26">
      <c r="B29" s="106"/>
    </row>
    <row r="30" spans="1:26">
      <c r="B30" s="106"/>
    </row>
    <row r="31" spans="1:26">
      <c r="B31" s="106"/>
    </row>
    <row r="32" spans="1:26">
      <c r="B32" s="106"/>
    </row>
    <row r="33" spans="2:2">
      <c r="B33" s="106"/>
    </row>
  </sheetData>
  <mergeCells count="37">
    <mergeCell ref="A14:B14"/>
    <mergeCell ref="A24:XFD24"/>
    <mergeCell ref="H19:I19"/>
    <mergeCell ref="V19:Z19"/>
    <mergeCell ref="V20:Z20"/>
    <mergeCell ref="O19:P19"/>
    <mergeCell ref="O20:P20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 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Наташа</cp:lastModifiedBy>
  <cp:lastPrinted>2025-08-14T11:25:44Z</cp:lastPrinted>
  <dcterms:created xsi:type="dcterms:W3CDTF">2003-03-13T16:00:22Z</dcterms:created>
  <dcterms:modified xsi:type="dcterms:W3CDTF">2025-08-14T11:26:17Z</dcterms:modified>
</cp:coreProperties>
</file>